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<sst xmlns="http://schemas.openxmlformats.org/spreadsheetml/2006/main" count="273" uniqueCount="242">
  <si>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</si>
  <si>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</si>
  <si>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</si>
  <si>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</si>
  <si>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</si>
  <si>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</si>
  <si>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</si>
  <si>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</si>
  <si>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</si>
  <si>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</si>
  <si>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</si>
  <si>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</si>
  <si>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</si>
  <si>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</si>
  <si>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</si>
  <si>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</si>
  <si>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</si>
  <si>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</si>
  <si>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</si>
  <si>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</si>
  <si>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</si>
  <si>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</si>
  <si>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</si>
  <si>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</si>
  <si>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</si>
  <si>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</si>
  <si>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</si>
  <si>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</si>
  <si>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</si>
  <si>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</si>
  <si>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</si>
  <si>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</si>
  <si>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</si>
  <si>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</si>
  <si>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</si>
  <si>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</si>
  <si>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</si>
  <si>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</si>
  <si>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</si>
  <si>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</si>
  <si>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</si>
  <si>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</si>
  <si>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</si>
  <si>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</si>
  <si>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</si>
  <si>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</si>
  <si>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</si>
  <si>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</si>
  <si>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</si>
  <si>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</si>
  <si>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</si>
  <si>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</si>
  <si>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</si>
  <si>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</si>
  <si>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</si>
  <si>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</si>
  <si>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</si>
  <si>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</si>
  <si>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</si>
  <si>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</si>
  <si>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</si>
  <si>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</si>
  <si>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</si>
  <si>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</si>
  <si>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</si>
  <si>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</si>
  <si>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</si>
  <si>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</si>
  <si>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</si>
  <si>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</si>
  <si>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</si>
  <si>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</si>
  <si>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</si>
  <si>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</si>
  <si>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</si>
  <si>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</si>
  <si>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</si>
  <si>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</si>
  <si>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</si>
  <si>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</si>
  <si>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</si>
  <si>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</si>
  <si>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</si>
  <si>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</si>
  <si>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</si>
  <si>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</si>
  <si>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</si>
  <si>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</si>
  <si>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</si>
  <si>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</si>
  <si>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</si>
  <si>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</si>
  <si>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</si>
  <si>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</si>
  <si>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</si>
  <si>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</si>
  <si>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</si>
  <si>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</si>
  <si>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</si>
  <si>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</si>
  <si>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</si>
  <si>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</si>
  <si>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</si>
  <si>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</si>
  <si>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</si>
  <si>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</si>
  <si>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</si>
  <si>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</si>
  <si>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</si>
  <si>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</si>
  <si>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</si>
  <si>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</si>
  <si>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</si>
  <si>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</si>
  <si>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</si>
  <si>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</si>
  <si>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</si>
  <si>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</si>
  <si>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</si>
  <si>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</si>
  <si>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</si>
  <si>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</si>
  <si>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</si>
  <si>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</si>
  <si>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</si>
  <si>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</si>
  <si>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</si>
  <si>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</si>
  <si>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</si>
  <si>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</si>
  <si>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</si>
  <si>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</si>
  <si>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</si>
  <si>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</si>
  <si>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</si>
  <si>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</si>
  <si>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</si>
  <si>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</si>
  <si>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</si>
  <si>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</si>
  <si>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</si>
  <si>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</si>
  <si>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</si>
  <si>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</si>
  <si>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</si>
  <si>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</si>
  <si>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</si>
  <si>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</si>
  <si>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</si>
  <si>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</si>
  <si>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</si>
  <si>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</si>
  <si>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</si>
  <si>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</si>
  <si>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</si>
  <si>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</si>
  <si>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</si>
  <si>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</si>
  <si>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</si>
  <si>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</si>
  <si>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</si>
  <si>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</si>
  <si>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</si>
  <si>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</si>
  <si>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</si>
  <si>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</si>
  <si>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</si>
  <si>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</si>
  <si>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</si>
  <si>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</si>
  <si>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</si>
  <si>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</si>
  <si>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</si>
  <si>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</si>
  <si>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</si>
  <si>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</si>
  <si>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</si>
  <si>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</si>
  <si>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</si>
  <si>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</si>
  <si>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</si>
  <si>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</si>
  <si>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</si>
  <si>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</si>
  <si>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</si>
  <si>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</si>
  <si>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</si>
  <si>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</si>
  <si>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</si>
  <si>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</si>
  <si>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</si>
  <si>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</si>
  <si>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</si>
  <si>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</si>
  <si>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</si>
  <si>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</si>
  <si>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</si>
  <si>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</si>
  <si>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</si>
  <si>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</si>
  <si>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</si>
  <si>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</si>
  <si>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</si>
  <si>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</si>
  <si>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</si>
  <si>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</si>
  <si>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</si>
  <si>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</si>
  <si>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</si>
  <si>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</si>
  <si>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</si>
  <si>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</si>
  <si>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</si>
  <si>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</si>
  <si>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</si>
  <si>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</si>
  <si>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</si>
  <si>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</si>
  <si>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</si>
  <si>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</si>
  <si>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</si>
  <si>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</si>
  <si>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</si>
  <si>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</si>
  <si>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</si>
  <si>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</si>
  <si>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</si>
  <si>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</si>
  <si>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</si>
  <si>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</si>
  <si>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</si>
  <si>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</si>
  <si>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</si>
  <si>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</si>
  <si>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</si>
  <si>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</si>
  <si>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</si>
  <si>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</si>
  <si>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</si>
  <si>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</si>
  <si>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</si>
  <si>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09.10.2017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</si>
</sst>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A47" activePane="bottomLeft" state="frozen"/>
      <selection pane="topLeft" activeCell="B1" sqref="B1"/>
      <selection pane="bottomLeft" activeCell="AF59" sqref="AF5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3" t="s">
        <v>184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9"/>
    </row>
    <row r="5" spans="1:35" ht="20.25" customHeight="1">
      <c r="A5" s="245" t="s">
        <v>105</v>
      </c>
      <c r="B5" s="238"/>
      <c r="C5" s="246" t="s">
        <v>106</v>
      </c>
      <c r="D5" s="220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48" t="s">
        <v>38</v>
      </c>
      <c r="K5" s="248" t="s">
        <v>39</v>
      </c>
      <c r="L5" s="248" t="s">
        <v>40</v>
      </c>
      <c r="M5" s="248" t="s">
        <v>41</v>
      </c>
      <c r="N5" s="274" t="s">
        <v>42</v>
      </c>
      <c r="O5" s="275"/>
      <c r="P5" s="246"/>
      <c r="Q5" s="250" t="s">
        <v>43</v>
      </c>
      <c r="R5" s="250" t="s">
        <v>44</v>
      </c>
      <c r="S5" s="252" t="s">
        <v>45</v>
      </c>
      <c r="T5" s="253"/>
      <c r="U5" s="239"/>
      <c r="V5" s="254" t="s">
        <v>46</v>
      </c>
      <c r="W5" s="254" t="s">
        <v>47</v>
      </c>
      <c r="X5" s="254" t="s">
        <v>48</v>
      </c>
      <c r="Y5" s="257" t="s">
        <v>49</v>
      </c>
      <c r="Z5" s="259" t="s">
        <v>50</v>
      </c>
      <c r="AA5" s="267" t="s">
        <v>51</v>
      </c>
      <c r="AB5" s="267" t="s">
        <v>52</v>
      </c>
      <c r="AC5" s="265" t="s">
        <v>53</v>
      </c>
      <c r="AD5" s="240"/>
      <c r="AE5" s="220"/>
      <c r="AF5" s="220"/>
      <c r="AG5" s="220"/>
      <c r="AH5" s="220"/>
      <c r="AI5" s="7" t="s">
        <v>54</v>
      </c>
    </row>
    <row r="6" spans="1:35" ht="15.75">
      <c r="A6" s="245"/>
      <c r="B6" s="248" t="s">
        <v>55</v>
      </c>
      <c r="C6" s="247"/>
      <c r="D6" s="248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76"/>
      <c r="O6" s="277"/>
      <c r="P6" s="278"/>
      <c r="Q6" s="251"/>
      <c r="R6" s="251"/>
      <c r="S6" s="243" t="s">
        <v>91</v>
      </c>
      <c r="T6" s="244"/>
      <c r="U6" s="241"/>
      <c r="V6" s="255"/>
      <c r="W6" s="255"/>
      <c r="X6" s="255"/>
      <c r="Y6" s="258"/>
      <c r="Z6" s="260"/>
      <c r="AA6" s="268"/>
      <c r="AB6" s="268"/>
      <c r="AC6" s="266"/>
      <c r="AD6" s="271" t="s">
        <v>92</v>
      </c>
      <c r="AE6" s="271" t="s">
        <v>43</v>
      </c>
      <c r="AF6" s="271" t="s">
        <v>44</v>
      </c>
      <c r="AG6" s="59" t="s">
        <v>45</v>
      </c>
      <c r="AH6" s="267" t="s">
        <v>241</v>
      </c>
      <c r="AI6" s="271" t="s">
        <v>36</v>
      </c>
    </row>
    <row r="7" spans="1:35" ht="36.75" customHeight="1">
      <c r="A7" s="8">
        <v>1</v>
      </c>
      <c r="B7" s="249"/>
      <c r="C7" s="43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2"/>
      <c r="AE7" s="272"/>
      <c r="AF7" s="272"/>
      <c r="AG7" s="43" t="s">
        <v>91</v>
      </c>
      <c r="AH7" s="268"/>
      <c r="AI7" s="272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5117101.779999998</v>
      </c>
      <c r="AI8" s="17">
        <f aca="true" t="shared" si="1" ref="AI8:AI45">AH8/AF8*100</f>
        <v>33.5451789322992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3668307.2</f>
        <v>3668307.2</v>
      </c>
      <c r="AI9" s="22">
        <f t="shared" si="1"/>
        <v>93.13163002704299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43735170.60000001</v>
      </c>
      <c r="AI49" s="109">
        <f aca="true" t="shared" si="6" ref="AI49:AI81">AH49/AE49*100</f>
        <v>81.4163983388911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40">
        <f>AH51+AH52+AH54+AH55+AH57+AH56</f>
        <v>10521998.3</v>
      </c>
      <c r="AI50" s="137">
        <f t="shared" si="6"/>
        <v>73.77805419816532</v>
      </c>
    </row>
    <row r="51" spans="1:35" ht="18.75">
      <c r="A51" s="20"/>
      <c r="B51" s="20"/>
      <c r="C51" s="21" t="s">
        <v>98</v>
      </c>
      <c r="D51" s="123" t="s">
        <v>60</v>
      </c>
      <c r="E51" s="124"/>
      <c r="F51" s="124"/>
      <c r="G51" s="124"/>
      <c r="H51" s="124"/>
      <c r="I51" s="125"/>
      <c r="J51" s="125"/>
      <c r="K51" s="125"/>
      <c r="L51" s="125"/>
      <c r="M51" s="126">
        <v>3915300</v>
      </c>
      <c r="N51" s="125"/>
      <c r="O51" s="127">
        <f>P51+Q51</f>
        <v>7830600</v>
      </c>
      <c r="P51" s="128">
        <f>Q51+R51</f>
        <v>3915300</v>
      </c>
      <c r="Q51" s="129">
        <v>3915300</v>
      </c>
      <c r="R51" s="45"/>
      <c r="S51" s="45"/>
      <c r="T51" s="129">
        <f>377576+371325+309994.8+333575+343665.2+183849+382449.6+208635+112435+213155+204635+153080</f>
        <v>3194374.6</v>
      </c>
      <c r="U51" s="129"/>
      <c r="V51" s="130">
        <v>4284918.23</v>
      </c>
      <c r="W51" s="130"/>
      <c r="X51" s="129">
        <f>377576+371325+309994.8+333575+343665.2+183849+382449.6+208635+112435+213155+204635+153080+218500</f>
        <v>3412874.6</v>
      </c>
      <c r="Y51" s="131">
        <f>X51/P51*100</f>
        <v>87.16763977217582</v>
      </c>
      <c r="Z51" s="132">
        <v>4284918.23</v>
      </c>
      <c r="AA51" s="133">
        <f t="shared" si="4"/>
        <v>109.44035527290374</v>
      </c>
      <c r="AB51" s="134">
        <f t="shared" si="5"/>
        <v>369618.23000000045</v>
      </c>
      <c r="AC51" s="55" t="s">
        <v>61</v>
      </c>
      <c r="AD51" s="135">
        <f t="shared" si="3"/>
        <v>4284918.23</v>
      </c>
      <c r="AE51" s="132">
        <v>4284918.23</v>
      </c>
      <c r="AF51" s="45"/>
      <c r="AG51" s="45"/>
      <c r="AH51" s="136">
        <f>451196.53+332740.16-66.81+399426.96+233852.31+419280+342420+316420+270160</f>
        <v>2765429.15</v>
      </c>
      <c r="AI51" s="137">
        <f t="shared" si="6"/>
        <v>64.53866798760357</v>
      </c>
    </row>
    <row r="52" spans="1:35" ht="18" customHeight="1">
      <c r="A52" s="20"/>
      <c r="B52" s="20"/>
      <c r="C52" s="21" t="s">
        <v>99</v>
      </c>
      <c r="D52" s="123" t="s">
        <v>62</v>
      </c>
      <c r="E52" s="124"/>
      <c r="F52" s="124"/>
      <c r="G52" s="124"/>
      <c r="H52" s="124"/>
      <c r="I52" s="125"/>
      <c r="J52" s="125"/>
      <c r="K52" s="125"/>
      <c r="L52" s="125"/>
      <c r="M52" s="126">
        <v>3700700</v>
      </c>
      <c r="N52" s="125"/>
      <c r="O52" s="127">
        <f>P52+Q52</f>
        <v>12235000</v>
      </c>
      <c r="P52" s="128">
        <f>Q52+R52</f>
        <v>6117500</v>
      </c>
      <c r="Q52" s="129">
        <f>3700700+2416800</f>
        <v>6117500</v>
      </c>
      <c r="R52" s="45"/>
      <c r="S52" s="45"/>
      <c r="T52" s="129">
        <f>368514.26+320005.16+308997.12+245452.4+488986.08+424493.2+319141.43+361164.06+393613.2+515925.59</f>
        <v>3746292.5000000005</v>
      </c>
      <c r="U52" s="129"/>
      <c r="V52" s="130">
        <v>8196115.58</v>
      </c>
      <c r="W52" s="130"/>
      <c r="X52" s="129">
        <f>368514.26+320005.16+308997.12+245452.4+488986.08+424493.2+319141.43+361164.06+393613.2+515925.59</f>
        <v>3746292.5000000005</v>
      </c>
      <c r="Y52" s="131">
        <f>X52/P52*100</f>
        <v>61.238945647731924</v>
      </c>
      <c r="Z52" s="132">
        <v>8196115.58</v>
      </c>
      <c r="AA52" s="133">
        <f t="shared" si="4"/>
        <v>133.9781868410298</v>
      </c>
      <c r="AB52" s="134">
        <f t="shared" si="5"/>
        <v>2078615.58</v>
      </c>
      <c r="AC52" s="138" t="s">
        <v>63</v>
      </c>
      <c r="AD52" s="135">
        <f t="shared" si="3"/>
        <v>8062577.58</v>
      </c>
      <c r="AE52" s="139">
        <f>8196115.58-133538</f>
        <v>8062577.58</v>
      </c>
      <c r="AF52" s="45"/>
      <c r="AG52" s="45"/>
      <c r="AH52" s="140">
        <f>1043663.87+1051800.53+937923.95+734004.17+658837.16+525067.25+376221.5+489613.19+767265.06</f>
        <v>6584396.68</v>
      </c>
      <c r="AI52" s="137">
        <f t="shared" si="6"/>
        <v>81.66614974760962</v>
      </c>
    </row>
    <row r="53" spans="1:35" ht="38.25" customHeight="1" hidden="1">
      <c r="A53" s="20"/>
      <c r="B53" s="20"/>
      <c r="C53" s="21" t="s">
        <v>98</v>
      </c>
      <c r="D53" s="141" t="s">
        <v>64</v>
      </c>
      <c r="E53" s="142"/>
      <c r="F53" s="142"/>
      <c r="G53" s="142"/>
      <c r="H53" s="142"/>
      <c r="I53" s="142"/>
      <c r="J53" s="142"/>
      <c r="K53" s="142"/>
      <c r="L53" s="142"/>
      <c r="M53" s="143">
        <v>0</v>
      </c>
      <c r="N53" s="143">
        <v>0</v>
      </c>
      <c r="O53" s="143">
        <v>0</v>
      </c>
      <c r="P53" s="144">
        <v>0</v>
      </c>
      <c r="Q53" s="143">
        <v>0</v>
      </c>
      <c r="R53" s="143">
        <v>0</v>
      </c>
      <c r="S53" s="143">
        <v>0</v>
      </c>
      <c r="T53" s="143">
        <v>0</v>
      </c>
      <c r="U53" s="143"/>
      <c r="V53" s="130">
        <v>647750</v>
      </c>
      <c r="W53" s="269">
        <v>754100</v>
      </c>
      <c r="X53" s="143">
        <v>0</v>
      </c>
      <c r="Y53" s="143">
        <v>0</v>
      </c>
      <c r="Z53" s="34">
        <v>647750</v>
      </c>
      <c r="AA53" s="133" t="e">
        <f t="shared" si="4"/>
        <v>#DIV/0!</v>
      </c>
      <c r="AB53" s="145">
        <f t="shared" si="5"/>
        <v>647750</v>
      </c>
      <c r="AC53" s="270" t="s">
        <v>65</v>
      </c>
      <c r="AD53" s="135">
        <f t="shared" si="3"/>
        <v>0</v>
      </c>
      <c r="AE53" s="139">
        <v>0</v>
      </c>
      <c r="AF53" s="45"/>
      <c r="AG53" s="45"/>
      <c r="AH53" s="136"/>
      <c r="AI53" s="137" t="e">
        <f t="shared" si="6"/>
        <v>#DIV/0!</v>
      </c>
    </row>
    <row r="54" spans="1:35" ht="31.5">
      <c r="A54" s="20"/>
      <c r="B54" s="20"/>
      <c r="C54" s="21" t="s">
        <v>98</v>
      </c>
      <c r="D54" s="146" t="s">
        <v>239</v>
      </c>
      <c r="E54" s="142"/>
      <c r="F54" s="142"/>
      <c r="G54" s="142"/>
      <c r="H54" s="142"/>
      <c r="I54" s="142"/>
      <c r="J54" s="142"/>
      <c r="K54" s="142"/>
      <c r="L54" s="142"/>
      <c r="M54" s="144">
        <v>340400</v>
      </c>
      <c r="N54" s="142"/>
      <c r="O54" s="147">
        <f>P54+Q54</f>
        <v>680800</v>
      </c>
      <c r="P54" s="144">
        <f>Q54+R54</f>
        <v>340400</v>
      </c>
      <c r="Q54" s="129">
        <v>340400</v>
      </c>
      <c r="R54" s="121"/>
      <c r="S54" s="121"/>
      <c r="T54" s="129">
        <f>31760+32267.33+557+3492.67+30267.33+3492.67+2457.54+28267.33+3492.67+30267.32+3492.67+30767.33+3492.67+30267.33+3492.67+28267.33</f>
        <v>266101.86000000004</v>
      </c>
      <c r="U54" s="129"/>
      <c r="V54" s="130">
        <v>477177</v>
      </c>
      <c r="W54" s="269"/>
      <c r="X54" s="129">
        <f>31760+32267.33+557+3492.67+30267.33+3492.67+2457.54+28267.33+3492.67+30267.32+3492.67+30767.33+3492.67+30267.33+3492.67+28267.33</f>
        <v>266101.86000000004</v>
      </c>
      <c r="Y54" s="148">
        <f>X54/P54*100</f>
        <v>78.17328437132787</v>
      </c>
      <c r="Z54" s="34">
        <v>477177</v>
      </c>
      <c r="AA54" s="133">
        <f t="shared" si="4"/>
        <v>140.18125734430083</v>
      </c>
      <c r="AB54" s="145">
        <f t="shared" si="5"/>
        <v>136777</v>
      </c>
      <c r="AC54" s="270"/>
      <c r="AD54" s="135">
        <f t="shared" si="3"/>
        <v>477177</v>
      </c>
      <c r="AE54" s="139">
        <v>477177</v>
      </c>
      <c r="AF54" s="45"/>
      <c r="AG54" s="45"/>
      <c r="AH54" s="140">
        <f>70531.7+6772.4+32179.65+4172.4+2000+32179.65+4772.4+2000+33654.16+37827.5+2000+4831.46+33654.16+8172.4+33654.15+6982.4+33654.15</f>
        <v>349038.5800000001</v>
      </c>
      <c r="AI54" s="137">
        <f t="shared" si="6"/>
        <v>73.14656406323023</v>
      </c>
    </row>
    <row r="55" spans="1:35" ht="18.75">
      <c r="A55" s="20"/>
      <c r="B55" s="20"/>
      <c r="C55" s="21"/>
      <c r="D55" s="149" t="s">
        <v>185</v>
      </c>
      <c r="E55" s="142"/>
      <c r="F55" s="142"/>
      <c r="G55" s="142"/>
      <c r="H55" s="142"/>
      <c r="I55" s="142"/>
      <c r="J55" s="142"/>
      <c r="K55" s="142"/>
      <c r="L55" s="142"/>
      <c r="M55" s="144"/>
      <c r="N55" s="142"/>
      <c r="O55" s="147"/>
      <c r="P55" s="144"/>
      <c r="Q55" s="129"/>
      <c r="R55" s="121"/>
      <c r="S55" s="121"/>
      <c r="T55" s="129"/>
      <c r="U55" s="129"/>
      <c r="V55" s="130"/>
      <c r="W55" s="130"/>
      <c r="X55" s="129"/>
      <c r="Y55" s="148"/>
      <c r="Z55" s="34"/>
      <c r="AA55" s="133"/>
      <c r="AB55" s="145"/>
      <c r="AC55" s="138"/>
      <c r="AD55" s="135">
        <f t="shared" si="3"/>
        <v>183138</v>
      </c>
      <c r="AE55" s="139">
        <v>183138</v>
      </c>
      <c r="AF55" s="45"/>
      <c r="AG55" s="45"/>
      <c r="AH55" s="140">
        <f>24557.74+11948.26+81164.16+10672</f>
        <v>128342.16</v>
      </c>
      <c r="AI55" s="137">
        <f t="shared" si="6"/>
        <v>70.07948104707926</v>
      </c>
    </row>
    <row r="56" spans="1:35" ht="15.75" customHeight="1">
      <c r="A56" s="20"/>
      <c r="B56" s="20"/>
      <c r="C56" s="21"/>
      <c r="D56" s="149" t="s">
        <v>237</v>
      </c>
      <c r="E56" s="142"/>
      <c r="F56" s="142"/>
      <c r="G56" s="142"/>
      <c r="H56" s="142"/>
      <c r="I56" s="142"/>
      <c r="J56" s="142"/>
      <c r="K56" s="142"/>
      <c r="L56" s="142"/>
      <c r="M56" s="144"/>
      <c r="N56" s="142"/>
      <c r="O56" s="147"/>
      <c r="P56" s="144"/>
      <c r="Q56" s="129"/>
      <c r="R56" s="121"/>
      <c r="S56" s="121"/>
      <c r="T56" s="129"/>
      <c r="U56" s="129"/>
      <c r="V56" s="130"/>
      <c r="W56" s="130"/>
      <c r="X56" s="129"/>
      <c r="Y56" s="148"/>
      <c r="Z56" s="34"/>
      <c r="AA56" s="133"/>
      <c r="AB56" s="145"/>
      <c r="AC56" s="138"/>
      <c r="AD56" s="135">
        <f t="shared" si="3"/>
        <v>358600</v>
      </c>
      <c r="AE56" s="139">
        <v>358600</v>
      </c>
      <c r="AF56" s="45"/>
      <c r="AG56" s="45"/>
      <c r="AH56" s="140">
        <f>26269.19+27110.07</f>
        <v>53379.259999999995</v>
      </c>
      <c r="AI56" s="137">
        <f t="shared" si="6"/>
        <v>14.885460122699385</v>
      </c>
    </row>
    <row r="57" spans="1:35" ht="18.75">
      <c r="A57" s="20"/>
      <c r="B57" s="20"/>
      <c r="C57" s="21" t="s">
        <v>99</v>
      </c>
      <c r="D57" s="141" t="s">
        <v>66</v>
      </c>
      <c r="E57" s="142">
        <f>31.3+21.5</f>
        <v>52.8</v>
      </c>
      <c r="F57" s="142">
        <f>E57</f>
        <v>52.8</v>
      </c>
      <c r="G57" s="142">
        <v>0</v>
      </c>
      <c r="H57" s="142">
        <f>F57</f>
        <v>52.8</v>
      </c>
      <c r="I57" s="142">
        <v>100</v>
      </c>
      <c r="J57" s="142">
        <v>0</v>
      </c>
      <c r="K57" s="142">
        <v>52.8</v>
      </c>
      <c r="L57" s="142" t="s">
        <v>59</v>
      </c>
      <c r="M57" s="120">
        <v>821358.2</v>
      </c>
      <c r="N57" s="142" t="s">
        <v>59</v>
      </c>
      <c r="O57" s="150">
        <f>P57+Q57</f>
        <v>1642716.4</v>
      </c>
      <c r="P57" s="144">
        <f>Q57+R57</f>
        <v>821358.2</v>
      </c>
      <c r="Q57" s="151">
        <v>821358.2</v>
      </c>
      <c r="R57" s="101"/>
      <c r="S57" s="101"/>
      <c r="T57" s="151">
        <f>57313.38+61144.73+58977.29+61169.9+64788.11+63325.73+67704.89+66130.42+67368.74+72480.48</f>
        <v>640403.6699999999</v>
      </c>
      <c r="U57" s="151"/>
      <c r="V57" s="151">
        <v>895280.44</v>
      </c>
      <c r="W57" s="151"/>
      <c r="X57" s="151">
        <f>57313.38+61144.73+58977.29+61169.9+64788.11+63325.73+67704.89+66130.42+67368.74+72480.48</f>
        <v>640403.6699999999</v>
      </c>
      <c r="Y57" s="152">
        <f>X57/P57*100</f>
        <v>77.96886547184894</v>
      </c>
      <c r="Z57" s="34">
        <v>895280.44</v>
      </c>
      <c r="AA57" s="133"/>
      <c r="AB57" s="145"/>
      <c r="AC57" s="138"/>
      <c r="AD57" s="135">
        <f t="shared" si="3"/>
        <v>895280.44</v>
      </c>
      <c r="AE57" s="139">
        <f>Z57</f>
        <v>895280.44</v>
      </c>
      <c r="AF57" s="45"/>
      <c r="AG57" s="45"/>
      <c r="AH57" s="140">
        <f>137394.42+66136.03+68723.5+67679.54+68057.1+80323.56+77790.17+75308.15</f>
        <v>641412.47</v>
      </c>
      <c r="AI57" s="137">
        <f t="shared" si="6"/>
        <v>71.64374885706204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2">
        <v>5449.4</v>
      </c>
      <c r="F58" s="142">
        <f>E58</f>
        <v>5449.4</v>
      </c>
      <c r="G58" s="142">
        <v>1012.4</v>
      </c>
      <c r="H58" s="142">
        <v>4437</v>
      </c>
      <c r="I58" s="142">
        <v>8582.5</v>
      </c>
      <c r="J58" s="142">
        <v>1513.5</v>
      </c>
      <c r="K58" s="142">
        <v>4437</v>
      </c>
      <c r="L58" s="142"/>
      <c r="M58" s="153">
        <f>M59+M60+M64+M62+M65</f>
        <v>5469440</v>
      </c>
      <c r="N58" s="153">
        <f>N59+N60+N64+N62+N65</f>
        <v>0</v>
      </c>
      <c r="O58" s="153">
        <f>O59+O60+O64+O62+O65</f>
        <v>14216880</v>
      </c>
      <c r="P58" s="120">
        <f>P59+P60+P64+P62+P65+P63</f>
        <v>5469440</v>
      </c>
      <c r="Q58" s="153">
        <f>Q59+Q60+Q64+Q62+Q65</f>
        <v>8999440</v>
      </c>
      <c r="R58" s="121"/>
      <c r="S58" s="121"/>
      <c r="T58" s="153">
        <f>T59+T60+T64+T62+T65</f>
        <v>5903520.42</v>
      </c>
      <c r="U58" s="153"/>
      <c r="V58" s="153">
        <f>V59+V60+V64+V62+V65</f>
        <v>11520000</v>
      </c>
      <c r="W58" s="153"/>
      <c r="X58" s="153">
        <f>X59+X60+X64+X62+X65</f>
        <v>5074108.42</v>
      </c>
      <c r="Y58" s="137">
        <f>X58/P58*100</f>
        <v>92.77199164813949</v>
      </c>
      <c r="Z58" s="120">
        <f>Z59+Z60+Z64+Z62+Z65+Z63</f>
        <v>11520000</v>
      </c>
      <c r="AA58" s="153">
        <f>Z58/P58*100</f>
        <v>210.62485373274046</v>
      </c>
      <c r="AB58" s="154">
        <f>Z58-P58</f>
        <v>6050560</v>
      </c>
      <c r="AC58" s="121"/>
      <c r="AD58" s="119">
        <f t="shared" si="3"/>
        <v>6781464.640000001</v>
      </c>
      <c r="AE58" s="155">
        <f>AE59+AE60+AE64+AE62+AE63+AE65</f>
        <v>6781464.640000001</v>
      </c>
      <c r="AF58" s="121"/>
      <c r="AG58" s="121"/>
      <c r="AH58" s="140">
        <f>AH59+AH60+AH62+AH63+AH64+AH65</f>
        <v>5908334</v>
      </c>
      <c r="AI58" s="137">
        <f t="shared" si="6"/>
        <v>87.12474831985557</v>
      </c>
    </row>
    <row r="59" spans="1:37" ht="18.75">
      <c r="A59" s="20"/>
      <c r="B59" s="20"/>
      <c r="C59" s="21" t="s">
        <v>68</v>
      </c>
      <c r="D59" s="156" t="s">
        <v>69</v>
      </c>
      <c r="E59" s="143"/>
      <c r="F59" s="143"/>
      <c r="G59" s="143"/>
      <c r="H59" s="143"/>
      <c r="I59" s="143"/>
      <c r="J59" s="143"/>
      <c r="K59" s="143"/>
      <c r="L59" s="143"/>
      <c r="M59" s="151">
        <v>1799360</v>
      </c>
      <c r="N59" s="157"/>
      <c r="O59" s="147">
        <f>P59+Q59</f>
        <v>3598720</v>
      </c>
      <c r="P59" s="144">
        <f>Q59+R59</f>
        <v>1799360</v>
      </c>
      <c r="Q59" s="129">
        <v>1799360</v>
      </c>
      <c r="R59" s="101"/>
      <c r="S59" s="101"/>
      <c r="T59" s="129">
        <f>217430.51+24131.1+75354.44+26310+83994+124498.5+49141.8+90561.58+85135+265612.24+37000+95901+94500+48300+179347.42+146901.8+86841.09+62893.68+5505.6</f>
        <v>1799359.76</v>
      </c>
      <c r="U59" s="129"/>
      <c r="V59" s="158">
        <v>4550000</v>
      </c>
      <c r="W59" s="133"/>
      <c r="X59" s="129">
        <f>217430.51+24131.1+75354.44+26310+83994+124498.5+49141.8+90561.58+85135+265612.24+37000+95901+94500+48300+179347.42+146901.8+86841.09+62893.68+5505.6</f>
        <v>1799359.76</v>
      </c>
      <c r="Y59" s="152">
        <f>X59/P59*100</f>
        <v>99.99998666192424</v>
      </c>
      <c r="Z59" s="34">
        <v>4550000</v>
      </c>
      <c r="AA59" s="133">
        <f>Z59/P59*100</f>
        <v>252.86768628845812</v>
      </c>
      <c r="AB59" s="134">
        <f>Z59-P59</f>
        <v>2750640</v>
      </c>
      <c r="AC59" s="55"/>
      <c r="AD59" s="135">
        <f t="shared" si="3"/>
        <v>2245108.16</v>
      </c>
      <c r="AE59" s="132">
        <f>P59+P59*8.1%+300000</f>
        <v>2245108.16</v>
      </c>
      <c r="AF59" s="45"/>
      <c r="AG59" s="45"/>
      <c r="AH59" s="140">
        <f>54575+145257+242875+44400+234550+55500+136500+44400+82695+96084+394784+315234+77700</f>
        <v>1924554</v>
      </c>
      <c r="AI59" s="137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1" t="s">
        <v>70</v>
      </c>
      <c r="E60" s="143"/>
      <c r="F60" s="143"/>
      <c r="G60" s="143"/>
      <c r="H60" s="143"/>
      <c r="I60" s="143"/>
      <c r="J60" s="143"/>
      <c r="K60" s="143"/>
      <c r="L60" s="143"/>
      <c r="M60" s="151">
        <f>45000+98000</f>
        <v>143000</v>
      </c>
      <c r="N60" s="157"/>
      <c r="O60" s="147">
        <f>P60+Q60</f>
        <v>286000</v>
      </c>
      <c r="P60" s="144">
        <f>Q60+R60</f>
        <v>143000</v>
      </c>
      <c r="Q60" s="129">
        <f>45000+98000</f>
        <v>143000</v>
      </c>
      <c r="R60" s="101"/>
      <c r="S60" s="101"/>
      <c r="T60" s="129">
        <f>30000+97950+15000</f>
        <v>142950</v>
      </c>
      <c r="U60" s="129"/>
      <c r="V60" s="158">
        <v>275000</v>
      </c>
      <c r="W60" s="133"/>
      <c r="X60" s="129">
        <f>30000+97950+15000</f>
        <v>142950</v>
      </c>
      <c r="Y60" s="152">
        <f>X60/P60*100</f>
        <v>99.96503496503496</v>
      </c>
      <c r="Z60" s="34">
        <v>275000</v>
      </c>
      <c r="AA60" s="133">
        <f>Z60/P60*100</f>
        <v>192.30769230769232</v>
      </c>
      <c r="AB60" s="134">
        <f>Z60-P60</f>
        <v>132000</v>
      </c>
      <c r="AC60" s="55"/>
      <c r="AD60" s="135">
        <f t="shared" si="3"/>
        <v>404583</v>
      </c>
      <c r="AE60" s="132">
        <f>P60+P60*8.1%+200000+50000</f>
        <v>404583</v>
      </c>
      <c r="AF60" s="45"/>
      <c r="AG60" s="45"/>
      <c r="AH60" s="136">
        <f>154575+135696+49300+49950</f>
        <v>389521</v>
      </c>
      <c r="AI60" s="137">
        <f t="shared" si="6"/>
        <v>96.27715450229</v>
      </c>
      <c r="AK60" s="86"/>
    </row>
    <row r="61" spans="1:35" ht="36.75" customHeight="1">
      <c r="A61" s="20"/>
      <c r="B61" s="20"/>
      <c r="C61" s="21"/>
      <c r="D61" s="159" t="s">
        <v>206</v>
      </c>
      <c r="E61" s="143"/>
      <c r="F61" s="143"/>
      <c r="G61" s="143"/>
      <c r="H61" s="143"/>
      <c r="I61" s="143"/>
      <c r="J61" s="143"/>
      <c r="K61" s="143"/>
      <c r="L61" s="143"/>
      <c r="M61" s="151"/>
      <c r="N61" s="157"/>
      <c r="O61" s="147"/>
      <c r="P61" s="144"/>
      <c r="Q61" s="129"/>
      <c r="R61" s="101"/>
      <c r="S61" s="101"/>
      <c r="T61" s="129"/>
      <c r="U61" s="129"/>
      <c r="V61" s="158"/>
      <c r="W61" s="133"/>
      <c r="X61" s="129"/>
      <c r="Y61" s="152"/>
      <c r="Z61" s="34"/>
      <c r="AA61" s="133"/>
      <c r="AB61" s="134"/>
      <c r="AC61" s="55"/>
      <c r="AD61" s="160">
        <f>AE61</f>
        <v>50000</v>
      </c>
      <c r="AE61" s="132">
        <v>50000</v>
      </c>
      <c r="AF61" s="45"/>
      <c r="AG61" s="45"/>
      <c r="AH61" s="136">
        <v>49950</v>
      </c>
      <c r="AI61" s="137">
        <f t="shared" si="6"/>
        <v>99.9</v>
      </c>
    </row>
    <row r="62" spans="1:35" ht="18.75" customHeight="1">
      <c r="A62" s="20"/>
      <c r="B62" s="20"/>
      <c r="C62" s="21" t="s">
        <v>68</v>
      </c>
      <c r="D62" s="141" t="s">
        <v>71</v>
      </c>
      <c r="E62" s="143"/>
      <c r="F62" s="143"/>
      <c r="G62" s="143"/>
      <c r="H62" s="143"/>
      <c r="I62" s="143"/>
      <c r="J62" s="143"/>
      <c r="K62" s="143"/>
      <c r="L62" s="143"/>
      <c r="M62" s="151">
        <f>252000+175000</f>
        <v>427000</v>
      </c>
      <c r="N62" s="157"/>
      <c r="O62" s="147">
        <f>P62+Q62</f>
        <v>602000</v>
      </c>
      <c r="P62" s="144">
        <v>175000</v>
      </c>
      <c r="Q62" s="129">
        <f>252000+175000</f>
        <v>427000</v>
      </c>
      <c r="R62" s="101"/>
      <c r="S62" s="101"/>
      <c r="T62" s="129">
        <f>34750+28250+25000+31750+25000+32000+25000+45500+70000+25000+34750</f>
        <v>377000</v>
      </c>
      <c r="U62" s="129"/>
      <c r="V62" s="158">
        <v>900000</v>
      </c>
      <c r="W62" s="133"/>
      <c r="X62" s="129">
        <f>34750+28250+25000+31750+25000+32000+25000+45500+70000+25000+34750+25000</f>
        <v>402000</v>
      </c>
      <c r="Y62" s="152">
        <f>X62/P62*100</f>
        <v>229.71428571428572</v>
      </c>
      <c r="Z62" s="34">
        <v>200000</v>
      </c>
      <c r="AA62" s="133">
        <f>Z62/P62*100</f>
        <v>114.28571428571428</v>
      </c>
      <c r="AB62" s="134">
        <f>Z62-P62</f>
        <v>25000</v>
      </c>
      <c r="AC62" s="55"/>
      <c r="AD62" s="135">
        <f aca="true" t="shared" si="8" ref="AD62:AD79">AE62+AF62</f>
        <v>189175</v>
      </c>
      <c r="AE62" s="132">
        <f>P62+P62*8.1%</f>
        <v>189175</v>
      </c>
      <c r="AF62" s="45"/>
      <c r="AG62" s="45"/>
      <c r="AH62" s="136">
        <f>50000+25000+25000+25000</f>
        <v>125000</v>
      </c>
      <c r="AI62" s="161">
        <f t="shared" si="6"/>
        <v>66.07638430025109</v>
      </c>
    </row>
    <row r="63" spans="1:37" ht="20.25" customHeight="1">
      <c r="A63" s="20"/>
      <c r="B63" s="20"/>
      <c r="C63" s="264" t="s">
        <v>72</v>
      </c>
      <c r="D63" s="141" t="s">
        <v>73</v>
      </c>
      <c r="E63" s="143"/>
      <c r="F63" s="143"/>
      <c r="G63" s="143"/>
      <c r="H63" s="143"/>
      <c r="I63" s="143"/>
      <c r="J63" s="143"/>
      <c r="K63" s="143"/>
      <c r="L63" s="143"/>
      <c r="M63" s="151"/>
      <c r="N63" s="157"/>
      <c r="O63" s="147"/>
      <c r="P63" s="144">
        <v>252000</v>
      </c>
      <c r="Q63" s="129"/>
      <c r="R63" s="101"/>
      <c r="S63" s="101"/>
      <c r="T63" s="129"/>
      <c r="U63" s="129"/>
      <c r="V63" s="158"/>
      <c r="W63" s="133"/>
      <c r="X63" s="129"/>
      <c r="Y63" s="152"/>
      <c r="Z63" s="34">
        <v>700000</v>
      </c>
      <c r="AA63" s="133"/>
      <c r="AB63" s="134"/>
      <c r="AC63" s="55"/>
      <c r="AD63" s="135">
        <f t="shared" si="8"/>
        <v>272412</v>
      </c>
      <c r="AE63" s="132">
        <f>P63+P63*8.1%</f>
        <v>272412</v>
      </c>
      <c r="AF63" s="45"/>
      <c r="AG63" s="45"/>
      <c r="AH63" s="136">
        <f>125250+44500+50500+31750</f>
        <v>252000</v>
      </c>
      <c r="AI63" s="161">
        <f t="shared" si="6"/>
        <v>92.50693802035153</v>
      </c>
      <c r="AK63" s="86"/>
    </row>
    <row r="64" spans="1:35" ht="36.75" customHeight="1">
      <c r="A64" s="20"/>
      <c r="B64" s="20"/>
      <c r="C64" s="264"/>
      <c r="D64" s="141" t="s">
        <v>74</v>
      </c>
      <c r="E64" s="143"/>
      <c r="F64" s="143"/>
      <c r="G64" s="143"/>
      <c r="H64" s="143"/>
      <c r="I64" s="143"/>
      <c r="J64" s="143"/>
      <c r="K64" s="143"/>
      <c r="L64" s="143"/>
      <c r="M64" s="151">
        <f>1231480+1589000+180000+29600</f>
        <v>3030080</v>
      </c>
      <c r="N64" s="157"/>
      <c r="O64" s="147">
        <f>P64+Q64</f>
        <v>6060160</v>
      </c>
      <c r="P64" s="144">
        <f>Q64+R64</f>
        <v>3030080</v>
      </c>
      <c r="Q64" s="129">
        <f>1231480+1589000+180000+29600</f>
        <v>3030080</v>
      </c>
      <c r="R64" s="101"/>
      <c r="S64" s="101"/>
      <c r="T64" s="129">
        <f>95028.5+188463.6+68400+157936.81+158389.75+145896+29600+29783+198012+97921.6+193183.5+70992+147900+44992.5+21677.5+14703+58116+88392+107822+50854.4+71688+74646+6000+161762+123612.5+114360+30800+133278</f>
        <v>2684210.66</v>
      </c>
      <c r="U64" s="129"/>
      <c r="V64" s="158">
        <v>5345000</v>
      </c>
      <c r="W64" s="133"/>
      <c r="X64" s="129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8">
        <f aca="true" t="shared" si="9" ref="Y64:Y72">X64/P64*100</f>
        <v>90.08998640299927</v>
      </c>
      <c r="Z64" s="34">
        <v>5345000</v>
      </c>
      <c r="AA64" s="133">
        <f aca="true" t="shared" si="10" ref="AA64:AA72">Z64/P64*100</f>
        <v>176.39798289154083</v>
      </c>
      <c r="AB64" s="134">
        <f aca="true" t="shared" si="11" ref="AB64:AB72">Z64-P64</f>
        <v>2314920</v>
      </c>
      <c r="AC64" s="55"/>
      <c r="AD64" s="135">
        <f t="shared" si="8"/>
        <v>3594516.48</v>
      </c>
      <c r="AE64" s="132">
        <f>P64+P64*8.1%+319000</f>
        <v>3594516.48</v>
      </c>
      <c r="AF64" s="45"/>
      <c r="AG64" s="45"/>
      <c r="AH64" s="140">
        <f>650252+225720+335728+255610+322330+98235+227636+69632+220062+47200+209500+42432+73116+76160+37420+32712+96570+9744+45220+99960+42020</f>
        <v>3217259</v>
      </c>
      <c r="AI64" s="161">
        <f t="shared" si="6"/>
        <v>89.50463902171343</v>
      </c>
    </row>
    <row r="65" spans="1:35" ht="19.5" customHeight="1">
      <c r="A65" s="20"/>
      <c r="B65" s="20"/>
      <c r="C65" s="264"/>
      <c r="D65" s="141" t="s">
        <v>75</v>
      </c>
      <c r="E65" s="143"/>
      <c r="F65" s="143"/>
      <c r="G65" s="143"/>
      <c r="H65" s="143"/>
      <c r="I65" s="143"/>
      <c r="J65" s="143"/>
      <c r="K65" s="143"/>
      <c r="L65" s="143"/>
      <c r="M65" s="151">
        <v>70000</v>
      </c>
      <c r="N65" s="157"/>
      <c r="O65" s="147">
        <f>P65+Q65</f>
        <v>3670000</v>
      </c>
      <c r="P65" s="144">
        <v>70000</v>
      </c>
      <c r="Q65" s="147">
        <f>R65+S65</f>
        <v>3600000</v>
      </c>
      <c r="R65" s="147">
        <f>S65+T65</f>
        <v>2250000</v>
      </c>
      <c r="S65" s="147">
        <f>T65+U65</f>
        <v>1350000</v>
      </c>
      <c r="T65" s="147">
        <f>U65+V65</f>
        <v>900000</v>
      </c>
      <c r="U65" s="147">
        <f>V65+W65</f>
        <v>450000</v>
      </c>
      <c r="V65" s="147">
        <v>450000</v>
      </c>
      <c r="W65" s="133"/>
      <c r="X65" s="129">
        <v>0</v>
      </c>
      <c r="Y65" s="152">
        <f t="shared" si="9"/>
        <v>0</v>
      </c>
      <c r="Z65" s="34">
        <v>450000</v>
      </c>
      <c r="AA65" s="133">
        <f t="shared" si="10"/>
        <v>642.8571428571429</v>
      </c>
      <c r="AB65" s="134">
        <f t="shared" si="11"/>
        <v>380000</v>
      </c>
      <c r="AC65" s="55"/>
      <c r="AD65" s="135">
        <f t="shared" si="8"/>
        <v>75670</v>
      </c>
      <c r="AE65" s="132">
        <f>P65+P65*8.1%</f>
        <v>75670</v>
      </c>
      <c r="AF65" s="45"/>
      <c r="AG65" s="45"/>
      <c r="AH65" s="136">
        <v>0</v>
      </c>
      <c r="AI65" s="161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2">
        <f>M68+M69+M67</f>
        <v>625900</v>
      </c>
      <c r="N66" s="113" t="s">
        <v>59</v>
      </c>
      <c r="O66" s="162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2">
        <f>V68+V69+V67</f>
        <v>637789.921</v>
      </c>
      <c r="W66" s="162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0">
        <f>AH67+AH68+AH69</f>
        <v>462862.87999999995</v>
      </c>
      <c r="AI66" s="137">
        <f t="shared" si="6"/>
        <v>38.48315457074493</v>
      </c>
    </row>
    <row r="67" spans="1:35" ht="18.75">
      <c r="A67" s="20"/>
      <c r="B67" s="20"/>
      <c r="C67" s="21" t="s">
        <v>77</v>
      </c>
      <c r="D67" s="141" t="s">
        <v>78</v>
      </c>
      <c r="E67" s="142"/>
      <c r="F67" s="142"/>
      <c r="G67" s="142"/>
      <c r="H67" s="142"/>
      <c r="I67" s="142"/>
      <c r="J67" s="142"/>
      <c r="K67" s="142"/>
      <c r="L67" s="142"/>
      <c r="M67" s="144">
        <v>268000</v>
      </c>
      <c r="N67" s="142"/>
      <c r="O67" s="147">
        <f>P67+Q67</f>
        <v>718512.58</v>
      </c>
      <c r="P67" s="144">
        <f>Q67+R67</f>
        <v>359256.29</v>
      </c>
      <c r="Q67" s="129">
        <f>268000+91256.29</f>
        <v>359256.29</v>
      </c>
      <c r="R67" s="101"/>
      <c r="S67" s="101"/>
      <c r="T67" s="129">
        <f>18552.24+72107.68+23190.3+47175.33+23015.91+29757.33+62844.09+23190.03</f>
        <v>299832.91000000003</v>
      </c>
      <c r="U67" s="129"/>
      <c r="V67" s="133">
        <f>P67*(0.9)</f>
        <v>323330.66099999996</v>
      </c>
      <c r="W67" s="133"/>
      <c r="X67" s="129">
        <f>18552.24+72107.68+23190.3+47175.33+23015.91+29757.33+62844.09+23190.03</f>
        <v>299832.91000000003</v>
      </c>
      <c r="Y67" s="152">
        <f t="shared" si="9"/>
        <v>83.45933483864681</v>
      </c>
      <c r="Z67" s="34">
        <v>855303.11</v>
      </c>
      <c r="AA67" s="133">
        <f t="shared" si="10"/>
        <v>238.07602923250138</v>
      </c>
      <c r="AB67" s="134">
        <f t="shared" si="11"/>
        <v>496046.82</v>
      </c>
      <c r="AC67" s="261" t="s">
        <v>79</v>
      </c>
      <c r="AD67" s="119">
        <f t="shared" si="8"/>
        <v>677532.25</v>
      </c>
      <c r="AE67" s="34">
        <v>677532.25</v>
      </c>
      <c r="AF67" s="121"/>
      <c r="AG67" s="121"/>
      <c r="AH67" s="140">
        <f>137793.06+59519.8+68453.75+26303.73+50766.79</f>
        <v>342837.12999999995</v>
      </c>
      <c r="AI67" s="137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1" t="s">
        <v>80</v>
      </c>
      <c r="E68" s="142"/>
      <c r="F68" s="142"/>
      <c r="G68" s="142"/>
      <c r="H68" s="142"/>
      <c r="I68" s="142"/>
      <c r="J68" s="142"/>
      <c r="K68" s="142"/>
      <c r="L68" s="142"/>
      <c r="M68" s="144">
        <v>170000</v>
      </c>
      <c r="N68" s="142"/>
      <c r="O68" s="147">
        <f>P68+Q68</f>
        <v>157487.42</v>
      </c>
      <c r="P68" s="144">
        <f>Q68+R68</f>
        <v>78743.71</v>
      </c>
      <c r="Q68" s="129">
        <f>170000-91256.29</f>
        <v>78743.71</v>
      </c>
      <c r="R68" s="101"/>
      <c r="S68" s="101"/>
      <c r="T68" s="129">
        <f>14766.18+14774.76+14766.18+14766.18+14766.18</f>
        <v>73839.48000000001</v>
      </c>
      <c r="U68" s="129"/>
      <c r="V68" s="133">
        <v>86161.65</v>
      </c>
      <c r="W68" s="133"/>
      <c r="X68" s="129">
        <f>14766.18+14774.76+14766.18+14766.18+14766.18</f>
        <v>73839.48000000001</v>
      </c>
      <c r="Y68" s="152">
        <f t="shared" si="9"/>
        <v>93.7719088927865</v>
      </c>
      <c r="Z68" s="34">
        <v>86161.65</v>
      </c>
      <c r="AA68" s="133">
        <f t="shared" si="10"/>
        <v>109.42035878167282</v>
      </c>
      <c r="AB68" s="134">
        <f t="shared" si="11"/>
        <v>7417.939999999988</v>
      </c>
      <c r="AC68" s="261"/>
      <c r="AD68" s="119">
        <f t="shared" si="8"/>
        <v>113761.65</v>
      </c>
      <c r="AE68" s="34">
        <v>113761.65</v>
      </c>
      <c r="AF68" s="121"/>
      <c r="AG68" s="121"/>
      <c r="AH68" s="140">
        <f>16168.43+16168.43+16168.43+12868.48</f>
        <v>61373.770000000004</v>
      </c>
      <c r="AI68" s="137">
        <f t="shared" si="6"/>
        <v>53.94943726642503</v>
      </c>
    </row>
    <row r="69" spans="1:35" ht="18.75">
      <c r="A69" s="20"/>
      <c r="B69" s="20"/>
      <c r="C69" s="21" t="s">
        <v>77</v>
      </c>
      <c r="D69" s="141" t="s">
        <v>35</v>
      </c>
      <c r="E69" s="142">
        <f>173.3</f>
        <v>173.3</v>
      </c>
      <c r="F69" s="142">
        <f>173.3</f>
        <v>173.3</v>
      </c>
      <c r="G69" s="142">
        <v>83.4</v>
      </c>
      <c r="H69" s="142">
        <f>F69-G69</f>
        <v>89.9</v>
      </c>
      <c r="I69" s="142">
        <f>666.764-14.616-20</f>
        <v>632.148</v>
      </c>
      <c r="J69" s="142">
        <v>166.1</v>
      </c>
      <c r="K69" s="142">
        <v>89.9</v>
      </c>
      <c r="L69" s="142"/>
      <c r="M69" s="144">
        <v>187900</v>
      </c>
      <c r="N69" s="142" t="s">
        <v>59</v>
      </c>
      <c r="O69" s="147">
        <f>P69+Q69</f>
        <v>375800</v>
      </c>
      <c r="P69" s="144">
        <f>Q69+R69</f>
        <v>187900</v>
      </c>
      <c r="Q69" s="129">
        <v>187900</v>
      </c>
      <c r="R69" s="101"/>
      <c r="S69" s="101"/>
      <c r="T69" s="129">
        <f>2357.42+16410.77+16575.26+17703.29+14605.33</f>
        <v>67652.06999999999</v>
      </c>
      <c r="U69" s="129"/>
      <c r="V69" s="133">
        <v>228297.61</v>
      </c>
      <c r="W69" s="133"/>
      <c r="X69" s="129">
        <f>2357.42+16410.77+16575.26+17703.29+14605.33</f>
        <v>67652.06999999999</v>
      </c>
      <c r="Y69" s="152">
        <f t="shared" si="9"/>
        <v>36.00429483767961</v>
      </c>
      <c r="Z69" s="34">
        <v>228297.61</v>
      </c>
      <c r="AA69" s="133">
        <f t="shared" si="10"/>
        <v>121.49952634379989</v>
      </c>
      <c r="AB69" s="134">
        <f t="shared" si="11"/>
        <v>40397.609999999986</v>
      </c>
      <c r="AC69" s="261"/>
      <c r="AD69" s="119">
        <f t="shared" si="8"/>
        <v>411473.61</v>
      </c>
      <c r="AE69" s="34">
        <v>411473.61</v>
      </c>
      <c r="AF69" s="121"/>
      <c r="AG69" s="121"/>
      <c r="AH69" s="140">
        <f>5315.4+17844.91+18270.16+17221.51</f>
        <v>58651.979999999996</v>
      </c>
      <c r="AI69" s="137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2">
        <f>122.6+1881.1</f>
        <v>2003.6999999999998</v>
      </c>
      <c r="F70" s="142">
        <f>121.8+1840</f>
        <v>1961.8</v>
      </c>
      <c r="G70" s="142">
        <v>27.7</v>
      </c>
      <c r="H70" s="142">
        <f>F70-G70</f>
        <v>1934.1</v>
      </c>
      <c r="I70" s="142">
        <f>2239.093+25.0115+616.4775</f>
        <v>2880.582</v>
      </c>
      <c r="J70" s="142">
        <v>1332.8</v>
      </c>
      <c r="K70" s="142">
        <v>1934.1</v>
      </c>
      <c r="L70" s="142"/>
      <c r="M70" s="153">
        <f aca="true" t="shared" si="12" ref="M70:V70">M71+M72+M74</f>
        <v>2123000</v>
      </c>
      <c r="N70" s="153" t="e">
        <f t="shared" si="12"/>
        <v>#VALUE!</v>
      </c>
      <c r="O70" s="153">
        <f t="shared" si="12"/>
        <v>4246000</v>
      </c>
      <c r="P70" s="120">
        <f t="shared" si="12"/>
        <v>2123000</v>
      </c>
      <c r="Q70" s="153">
        <f t="shared" si="12"/>
        <v>2123000</v>
      </c>
      <c r="R70" s="153">
        <f t="shared" si="12"/>
        <v>0</v>
      </c>
      <c r="S70" s="153">
        <f t="shared" si="12"/>
        <v>0</v>
      </c>
      <c r="T70" s="153">
        <f t="shared" si="12"/>
        <v>1314272.7199999997</v>
      </c>
      <c r="U70" s="153">
        <f t="shared" si="12"/>
        <v>0</v>
      </c>
      <c r="V70" s="153">
        <f t="shared" si="12"/>
        <v>2480800</v>
      </c>
      <c r="W70" s="153">
        <f>W71</f>
        <v>1128700</v>
      </c>
      <c r="X70" s="153">
        <f>X71+X72+X74</f>
        <v>1314272.7199999997</v>
      </c>
      <c r="Y70" s="137">
        <f t="shared" si="9"/>
        <v>61.906392840320294</v>
      </c>
      <c r="Z70" s="120">
        <f>Z71+Z72+Z74</f>
        <v>2480800</v>
      </c>
      <c r="AA70" s="153">
        <f t="shared" si="10"/>
        <v>116.85350918511541</v>
      </c>
      <c r="AB70" s="154">
        <f t="shared" si="11"/>
        <v>357800</v>
      </c>
      <c r="AC70" s="26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0">
        <f>AH71+AH72+AH73+AH74</f>
        <v>1845818.7400000005</v>
      </c>
      <c r="AI70" s="137">
        <f t="shared" si="6"/>
        <v>69.55904205607479</v>
      </c>
    </row>
    <row r="71" spans="1:37" ht="33.75" customHeight="1">
      <c r="A71" s="20"/>
      <c r="B71" s="20"/>
      <c r="C71" s="21" t="s">
        <v>112</v>
      </c>
      <c r="D71" s="149" t="s">
        <v>113</v>
      </c>
      <c r="E71" s="142"/>
      <c r="F71" s="142"/>
      <c r="G71" s="142"/>
      <c r="H71" s="142"/>
      <c r="I71" s="142"/>
      <c r="J71" s="142"/>
      <c r="K71" s="142"/>
      <c r="L71" s="142"/>
      <c r="M71" s="151">
        <f>1984500</f>
        <v>1984500</v>
      </c>
      <c r="N71" s="142"/>
      <c r="O71" s="147">
        <f>P71+Q71</f>
        <v>3969000</v>
      </c>
      <c r="P71" s="144">
        <f>Q71+R71</f>
        <v>1984500</v>
      </c>
      <c r="Q71" s="129">
        <f>1984500</f>
        <v>1984500</v>
      </c>
      <c r="R71" s="101"/>
      <c r="S71" s="101"/>
      <c r="T71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29"/>
      <c r="V71" s="23">
        <v>2415500</v>
      </c>
      <c r="W71" s="133">
        <v>1128700</v>
      </c>
      <c r="X71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8">
        <f t="shared" si="9"/>
        <v>64.4961723356009</v>
      </c>
      <c r="Z71" s="34">
        <v>2415500</v>
      </c>
      <c r="AA71" s="130">
        <f t="shared" si="10"/>
        <v>121.7183169564122</v>
      </c>
      <c r="AB71" s="163">
        <f t="shared" si="11"/>
        <v>431000</v>
      </c>
      <c r="AC71" s="262"/>
      <c r="AD71" s="119">
        <f t="shared" si="8"/>
        <v>1878100</v>
      </c>
      <c r="AE71" s="34">
        <f>1705300+172800</f>
        <v>1878100</v>
      </c>
      <c r="AF71" s="121"/>
      <c r="AG71" s="121"/>
      <c r="AH71" s="164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1" s="137">
        <f t="shared" si="6"/>
        <v>70.00120866833505</v>
      </c>
      <c r="AK71" s="86"/>
    </row>
    <row r="72" spans="1:35" s="1" customFormat="1" ht="17.25" customHeight="1">
      <c r="A72" s="20"/>
      <c r="B72" s="20"/>
      <c r="C72" s="21" t="s">
        <v>112</v>
      </c>
      <c r="D72" s="141" t="s">
        <v>114</v>
      </c>
      <c r="E72" s="142"/>
      <c r="F72" s="142"/>
      <c r="G72" s="142"/>
      <c r="H72" s="142"/>
      <c r="I72" s="142"/>
      <c r="J72" s="142"/>
      <c r="K72" s="142"/>
      <c r="L72" s="142"/>
      <c r="M72" s="151">
        <f>117815</f>
        <v>117815</v>
      </c>
      <c r="N72" s="142"/>
      <c r="O72" s="147">
        <f>P72+Q72</f>
        <v>235630</v>
      </c>
      <c r="P72" s="144">
        <f>Q72+R72</f>
        <v>117815</v>
      </c>
      <c r="Q72" s="129">
        <f>117815</f>
        <v>117815</v>
      </c>
      <c r="R72" s="101"/>
      <c r="S72" s="101"/>
      <c r="T72" s="129">
        <f>5874.96+10528.68+2678.52+4068.84+4824.24+994.56</f>
        <v>28969.8</v>
      </c>
      <c r="U72" s="129"/>
      <c r="V72" s="23">
        <v>36100</v>
      </c>
      <c r="W72" s="133"/>
      <c r="X72" s="129">
        <f>5874.96+10528.68+2678.52+4068.84+4824.24+994.56</f>
        <v>28969.8</v>
      </c>
      <c r="Y72" s="152">
        <f t="shared" si="9"/>
        <v>24.589228875779824</v>
      </c>
      <c r="Z72" s="34">
        <v>36100</v>
      </c>
      <c r="AA72" s="130">
        <f t="shared" si="10"/>
        <v>30.641259601918264</v>
      </c>
      <c r="AB72" s="163">
        <f t="shared" si="11"/>
        <v>-81715</v>
      </c>
      <c r="AC72" s="262"/>
      <c r="AD72" s="119">
        <f t="shared" si="8"/>
        <v>36100</v>
      </c>
      <c r="AE72" s="34">
        <f>Z72</f>
        <v>36100</v>
      </c>
      <c r="AF72" s="121"/>
      <c r="AG72" s="121"/>
      <c r="AH72" s="140">
        <f>10774.62+6345.33+3406.94+3854.95+5067.23</f>
        <v>29449.07</v>
      </c>
      <c r="AI72" s="137">
        <f t="shared" si="6"/>
        <v>81.57637119113573</v>
      </c>
    </row>
    <row r="73" spans="1:35" s="1" customFormat="1" ht="17.25" customHeight="1">
      <c r="A73" s="20"/>
      <c r="B73" s="20"/>
      <c r="C73" s="21"/>
      <c r="D73" s="141" t="s">
        <v>115</v>
      </c>
      <c r="E73" s="142"/>
      <c r="F73" s="142"/>
      <c r="G73" s="142"/>
      <c r="H73" s="142"/>
      <c r="I73" s="142"/>
      <c r="J73" s="142"/>
      <c r="K73" s="142"/>
      <c r="L73" s="142"/>
      <c r="M73" s="151"/>
      <c r="N73" s="142"/>
      <c r="O73" s="147"/>
      <c r="P73" s="144"/>
      <c r="Q73" s="129"/>
      <c r="R73" s="101"/>
      <c r="S73" s="101"/>
      <c r="T73" s="129"/>
      <c r="U73" s="129"/>
      <c r="V73" s="23"/>
      <c r="W73" s="133"/>
      <c r="X73" s="129"/>
      <c r="Y73" s="152"/>
      <c r="Z73" s="34"/>
      <c r="AA73" s="130"/>
      <c r="AB73" s="163"/>
      <c r="AC73" s="262"/>
      <c r="AD73" s="119">
        <f t="shared" si="8"/>
        <v>29200</v>
      </c>
      <c r="AE73" s="34">
        <f>Z74</f>
        <v>29200</v>
      </c>
      <c r="AF73" s="121"/>
      <c r="AG73" s="121"/>
      <c r="AH73" s="140">
        <f>991.77+516.4+534.22+353.35+424.2+443.68+1494.28</f>
        <v>4757.9</v>
      </c>
      <c r="AI73" s="137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49" t="s">
        <v>116</v>
      </c>
      <c r="E74" s="142">
        <v>22463.7</v>
      </c>
      <c r="F74" s="142">
        <f>7156.8+15302.9</f>
        <v>22459.7</v>
      </c>
      <c r="G74" s="142">
        <f>1375.6+2420.3</f>
        <v>3795.9</v>
      </c>
      <c r="H74" s="142">
        <v>18663.8</v>
      </c>
      <c r="I74" s="142">
        <v>26758.69305</v>
      </c>
      <c r="J74" s="142" t="e">
        <f>#REF!+#REF!+#REF!+#REF!</f>
        <v>#REF!</v>
      </c>
      <c r="K74" s="142" t="e">
        <f>#REF!+#REF!+#REF!+#REF!</f>
        <v>#REF!</v>
      </c>
      <c r="L74" s="142"/>
      <c r="M74" s="151">
        <v>20685</v>
      </c>
      <c r="N74" s="142" t="s">
        <v>59</v>
      </c>
      <c r="O74" s="147">
        <f>P74+Q74</f>
        <v>41370</v>
      </c>
      <c r="P74" s="144">
        <f>Q74+R74</f>
        <v>20685</v>
      </c>
      <c r="Q74" s="129">
        <v>20685</v>
      </c>
      <c r="R74" s="101"/>
      <c r="S74" s="101"/>
      <c r="T74" s="129">
        <f>848.74+587.05+557.5+750.92+889.87+917.3+825</f>
        <v>5376.38</v>
      </c>
      <c r="U74" s="129"/>
      <c r="V74" s="23">
        <v>29200</v>
      </c>
      <c r="W74" s="133"/>
      <c r="X74" s="129">
        <f>848.74+587.05+557.5+750.92+889.87+917.3+825</f>
        <v>5376.38</v>
      </c>
      <c r="Y74" s="152">
        <f>X74/P74*100</f>
        <v>25.991684795745712</v>
      </c>
      <c r="Z74" s="34">
        <v>29200</v>
      </c>
      <c r="AA74" s="130">
        <f>Z74/P74*100</f>
        <v>141.16509547981627</v>
      </c>
      <c r="AB74" s="163">
        <f>Z74-P74</f>
        <v>8515</v>
      </c>
      <c r="AC74" s="262"/>
      <c r="AD74" s="119">
        <f t="shared" si="8"/>
        <v>710200</v>
      </c>
      <c r="AE74" s="34">
        <f>680402.75+29797.25</f>
        <v>710200</v>
      </c>
      <c r="AF74" s="121"/>
      <c r="AG74" s="121"/>
      <c r="AH74" s="140">
        <f>94143.81+11352.5+2497.55+26627.8+5858.11+9600+11352.5+2497.55+1195.2+23010+21462.63+4805.26+19681.65+31099.8+6841.95+1970.08+433.42+3845+10755+2366.1+36171.43+7957.71+5208.75+10157.5+2234.65+26514.93+5833.28+15487.2+3407.18+29212.27+6426.7+2874.4+14340+5354.8+29952.75+4389.61</f>
        <v>496919.07000000007</v>
      </c>
      <c r="AI74" s="137">
        <f t="shared" si="6"/>
        <v>69.96889186144749</v>
      </c>
    </row>
    <row r="75" spans="1:35" s="2" customFormat="1" ht="18.75">
      <c r="A75" s="77"/>
      <c r="B75" s="77" t="s">
        <v>28</v>
      </c>
      <c r="C75" s="78"/>
      <c r="D75" s="146" t="s">
        <v>117</v>
      </c>
      <c r="E75" s="142"/>
      <c r="F75" s="142"/>
      <c r="G75" s="142"/>
      <c r="H75" s="142"/>
      <c r="I75" s="142"/>
      <c r="J75" s="142"/>
      <c r="K75" s="142"/>
      <c r="L75" s="142"/>
      <c r="M75" s="153"/>
      <c r="N75" s="165"/>
      <c r="O75" s="150"/>
      <c r="P75" s="120" t="e">
        <f>P76+P77+#REF!+P78+P79</f>
        <v>#REF!</v>
      </c>
      <c r="Q75" s="166"/>
      <c r="R75" s="121"/>
      <c r="S75" s="121"/>
      <c r="T75" s="166"/>
      <c r="U75" s="166"/>
      <c r="V75" s="153"/>
      <c r="W75" s="153"/>
      <c r="X75" s="166"/>
      <c r="Y75" s="167"/>
      <c r="Z75" s="120" t="e">
        <f>Z76+Z77+#REF!+Z78+Z79</f>
        <v>#REF!</v>
      </c>
      <c r="AA75" s="153"/>
      <c r="AB75" s="154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0">
        <f>AH76+AH77+AH78+AH79</f>
        <v>18203397.639999997</v>
      </c>
      <c r="AI75" s="137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49" t="s">
        <v>120</v>
      </c>
      <c r="E76" s="143"/>
      <c r="F76" s="143"/>
      <c r="G76" s="143"/>
      <c r="H76" s="143"/>
      <c r="I76" s="143"/>
      <c r="J76" s="143"/>
      <c r="K76" s="143"/>
      <c r="L76" s="143"/>
      <c r="M76" s="144">
        <v>5104000</v>
      </c>
      <c r="N76" s="157"/>
      <c r="O76" s="147">
        <f>P76+Q76</f>
        <v>8219357.757999999</v>
      </c>
      <c r="P76" s="144">
        <f>Q76+R76</f>
        <v>4109678.8789999997</v>
      </c>
      <c r="Q76" s="151">
        <f>5104000-994321.121</f>
        <v>4109678.8789999997</v>
      </c>
      <c r="R76" s="101"/>
      <c r="S76" s="101"/>
      <c r="T76" s="151">
        <f>307554.9+660163.29+188518.82+197590.73+136793.57+167192.17+227989.31+243188.57+455978.54</f>
        <v>2584969.9</v>
      </c>
      <c r="U76" s="151"/>
      <c r="V76" s="151">
        <v>0</v>
      </c>
      <c r="W76" s="151"/>
      <c r="X76" s="151">
        <f>307554.9+660163.29+188518.82+197590.73+136793.57+167192.17+227989.31+243188.57+455978.54+258387.82</f>
        <v>2843357.7199999997</v>
      </c>
      <c r="Y76" s="152">
        <f>X76/P76*100</f>
        <v>69.18685872342095</v>
      </c>
      <c r="Z76" s="34">
        <v>8044223</v>
      </c>
      <c r="AA76" s="151">
        <f>Z76/P76*100</f>
        <v>195.73848071451718</v>
      </c>
      <c r="AB76" s="168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0">
        <f>948917.94+163090.75+163090.74+179399.82+163090.75+228327.04+97854.45+195708.9+163090.75+146781.67+163090.75+652362.98+587126.69+577304.78</f>
        <v>4429238.01</v>
      </c>
      <c r="AI76" s="137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1" t="s">
        <v>123</v>
      </c>
      <c r="E77" s="143"/>
      <c r="F77" s="143"/>
      <c r="G77" s="143"/>
      <c r="H77" s="143"/>
      <c r="I77" s="143"/>
      <c r="J77" s="143"/>
      <c r="K77" s="143"/>
      <c r="L77" s="143"/>
      <c r="M77" s="144">
        <v>15799500</v>
      </c>
      <c r="N77" s="157"/>
      <c r="O77" s="147">
        <f>P77+Q77</f>
        <v>38043075.9</v>
      </c>
      <c r="P77" s="144">
        <f>Q77+R77</f>
        <v>19021537.95</v>
      </c>
      <c r="Q77" s="151">
        <f>15542500+3519037.95-40000</f>
        <v>19021537.95</v>
      </c>
      <c r="R77" s="101"/>
      <c r="S77" s="101"/>
      <c r="T77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1"/>
      <c r="V77" s="151">
        <f>41814854.5-3647031.42</f>
        <v>38167823.08</v>
      </c>
      <c r="W77" s="151"/>
      <c r="X77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2">
        <f>X77/P77*100</f>
        <v>83.42234409074163</v>
      </c>
      <c r="Z77" s="34">
        <f>13776827+8308804.5+7685000</f>
        <v>29770631.5</v>
      </c>
      <c r="AA77" s="151">
        <f>Z77/P77*100</f>
        <v>156.51011804752625</v>
      </c>
      <c r="AB77" s="168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7">
        <f t="shared" si="6"/>
        <v>99.99976073061868</v>
      </c>
    </row>
    <row r="78" spans="1:35" ht="16.5" customHeight="1">
      <c r="A78" s="18"/>
      <c r="B78" s="18"/>
      <c r="C78" s="21"/>
      <c r="D78" s="141" t="s">
        <v>124</v>
      </c>
      <c r="E78" s="142"/>
      <c r="F78" s="142"/>
      <c r="G78" s="142"/>
      <c r="H78" s="142"/>
      <c r="I78" s="142"/>
      <c r="J78" s="142"/>
      <c r="K78" s="142"/>
      <c r="L78" s="142"/>
      <c r="M78" s="169"/>
      <c r="N78" s="165"/>
      <c r="O78" s="170"/>
      <c r="P78" s="144">
        <v>0</v>
      </c>
      <c r="Q78" s="151"/>
      <c r="R78" s="101"/>
      <c r="S78" s="101"/>
      <c r="T78" s="151"/>
      <c r="U78" s="151"/>
      <c r="V78" s="151"/>
      <c r="W78" s="151"/>
      <c r="X78" s="151"/>
      <c r="Y78" s="152"/>
      <c r="Z78" s="34">
        <v>400000</v>
      </c>
      <c r="AA78" s="130"/>
      <c r="AB78" s="163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0">
        <v>99727.2</v>
      </c>
      <c r="AI78" s="137">
        <f t="shared" si="6"/>
        <v>49.8636</v>
      </c>
    </row>
    <row r="79" spans="1:35" ht="18.75">
      <c r="A79" s="18"/>
      <c r="B79" s="18"/>
      <c r="C79" s="21"/>
      <c r="D79" s="141" t="s">
        <v>125</v>
      </c>
      <c r="E79" s="142"/>
      <c r="F79" s="142"/>
      <c r="G79" s="142"/>
      <c r="H79" s="142"/>
      <c r="I79" s="142"/>
      <c r="J79" s="142"/>
      <c r="K79" s="142"/>
      <c r="L79" s="142"/>
      <c r="M79" s="169"/>
      <c r="N79" s="165"/>
      <c r="O79" s="170"/>
      <c r="P79" s="144">
        <v>0</v>
      </c>
      <c r="Q79" s="151"/>
      <c r="R79" s="101"/>
      <c r="S79" s="101"/>
      <c r="T79" s="151"/>
      <c r="U79" s="151"/>
      <c r="V79" s="151"/>
      <c r="W79" s="151"/>
      <c r="X79" s="151"/>
      <c r="Y79" s="152"/>
      <c r="Z79" s="34">
        <v>1723114</v>
      </c>
      <c r="AA79" s="130"/>
      <c r="AB79" s="163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0">
        <v>1090320</v>
      </c>
      <c r="AI79" s="137">
        <f t="shared" si="6"/>
        <v>99.99963313657226</v>
      </c>
    </row>
    <row r="80" spans="1:35" ht="18.75">
      <c r="A80" s="18"/>
      <c r="B80" s="18"/>
      <c r="C80" s="21"/>
      <c r="D80" s="141" t="s">
        <v>222</v>
      </c>
      <c r="E80" s="142"/>
      <c r="F80" s="142"/>
      <c r="G80" s="142"/>
      <c r="H80" s="142"/>
      <c r="I80" s="142"/>
      <c r="J80" s="142"/>
      <c r="K80" s="142"/>
      <c r="L80" s="142"/>
      <c r="M80" s="169"/>
      <c r="N80" s="165"/>
      <c r="O80" s="170"/>
      <c r="P80" s="144"/>
      <c r="Q80" s="151"/>
      <c r="R80" s="101"/>
      <c r="S80" s="101"/>
      <c r="T80" s="151"/>
      <c r="U80" s="151"/>
      <c r="V80" s="151"/>
      <c r="W80" s="151"/>
      <c r="X80" s="151"/>
      <c r="Y80" s="152"/>
      <c r="Z80" s="34"/>
      <c r="AA80" s="130"/>
      <c r="AB80" s="163"/>
      <c r="AC80" s="121"/>
      <c r="AD80" s="119">
        <f>AE80</f>
        <v>632790</v>
      </c>
      <c r="AE80" s="34">
        <v>632790</v>
      </c>
      <c r="AF80" s="121"/>
      <c r="AG80" s="121"/>
      <c r="AH80" s="140">
        <v>0</v>
      </c>
      <c r="AI80" s="137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2"/>
      <c r="F81" s="142"/>
      <c r="G81" s="142"/>
      <c r="H81" s="142"/>
      <c r="I81" s="142"/>
      <c r="J81" s="142"/>
      <c r="K81" s="142"/>
      <c r="L81" s="142"/>
      <c r="M81" s="120">
        <v>0</v>
      </c>
      <c r="N81" s="165"/>
      <c r="O81" s="150">
        <f>P81+Q81</f>
        <v>514000</v>
      </c>
      <c r="P81" s="120">
        <f>Q81+R81</f>
        <v>257000</v>
      </c>
      <c r="Q81" s="153">
        <v>257000</v>
      </c>
      <c r="R81" s="121"/>
      <c r="S81" s="121"/>
      <c r="T81" s="153">
        <f>23700.62+50875.25+50875.25+50775.25</f>
        <v>176226.37</v>
      </c>
      <c r="U81" s="153"/>
      <c r="V81" s="153">
        <f>P81*(0.9)</f>
        <v>231300</v>
      </c>
      <c r="W81" s="153"/>
      <c r="X81" s="153">
        <f>23700.62+50875.25+50875.25+50775.25</f>
        <v>176226.37</v>
      </c>
      <c r="Y81" s="137">
        <f>X81/P81*100</f>
        <v>68.57057198443579</v>
      </c>
      <c r="Z81" s="155">
        <v>346347.28</v>
      </c>
      <c r="AA81" s="153">
        <f>Z81/P81*100</f>
        <v>134.7654785992218</v>
      </c>
      <c r="AB81" s="154">
        <f>Z81-P81</f>
        <v>89347.28000000003</v>
      </c>
      <c r="AC81" s="121"/>
      <c r="AD81" s="119">
        <f aca="true" t="shared" si="13" ref="AD81:AD90">AE81+AF81</f>
        <v>442817</v>
      </c>
      <c r="AE81" s="155">
        <f>AE82+AE83</f>
        <v>442817</v>
      </c>
      <c r="AF81" s="121"/>
      <c r="AG81" s="121"/>
      <c r="AH81" s="140">
        <f>AH82+AH83</f>
        <v>292817</v>
      </c>
      <c r="AI81" s="137">
        <f t="shared" si="6"/>
        <v>66.12596174040291</v>
      </c>
    </row>
    <row r="82" spans="1:35" s="2" customFormat="1" ht="31.5">
      <c r="A82" s="77"/>
      <c r="B82" s="77"/>
      <c r="C82" s="78"/>
      <c r="D82" s="141" t="s">
        <v>207</v>
      </c>
      <c r="E82" s="142"/>
      <c r="F82" s="142"/>
      <c r="G82" s="142"/>
      <c r="H82" s="142"/>
      <c r="I82" s="142"/>
      <c r="J82" s="142"/>
      <c r="K82" s="142"/>
      <c r="L82" s="142"/>
      <c r="M82" s="120"/>
      <c r="N82" s="165"/>
      <c r="O82" s="150"/>
      <c r="P82" s="120"/>
      <c r="Q82" s="153"/>
      <c r="R82" s="121"/>
      <c r="S82" s="121"/>
      <c r="T82" s="153"/>
      <c r="U82" s="153"/>
      <c r="V82" s="153"/>
      <c r="W82" s="153"/>
      <c r="X82" s="153"/>
      <c r="Y82" s="137"/>
      <c r="Z82" s="155"/>
      <c r="AA82" s="153"/>
      <c r="AB82" s="154"/>
      <c r="AC82" s="121"/>
      <c r="AD82" s="171">
        <f t="shared" si="13"/>
        <v>427817</v>
      </c>
      <c r="AE82" s="34">
        <f>AH82+150000</f>
        <v>427817</v>
      </c>
      <c r="AF82" s="121"/>
      <c r="AG82" s="121"/>
      <c r="AH82" s="172">
        <f>250800+27017</f>
        <v>277817</v>
      </c>
      <c r="AI82" s="137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1" t="s">
        <v>234</v>
      </c>
      <c r="E83" s="142"/>
      <c r="F83" s="142"/>
      <c r="G83" s="142"/>
      <c r="H83" s="142"/>
      <c r="I83" s="142"/>
      <c r="J83" s="142"/>
      <c r="K83" s="142"/>
      <c r="L83" s="142"/>
      <c r="M83" s="120"/>
      <c r="N83" s="165"/>
      <c r="O83" s="150"/>
      <c r="P83" s="120"/>
      <c r="Q83" s="153"/>
      <c r="R83" s="121"/>
      <c r="S83" s="121"/>
      <c r="T83" s="153"/>
      <c r="U83" s="153"/>
      <c r="V83" s="153"/>
      <c r="W83" s="153"/>
      <c r="X83" s="153"/>
      <c r="Y83" s="137"/>
      <c r="Z83" s="155"/>
      <c r="AA83" s="153"/>
      <c r="AB83" s="154"/>
      <c r="AC83" s="121"/>
      <c r="AD83" s="171">
        <f t="shared" si="13"/>
        <v>15000</v>
      </c>
      <c r="AE83" s="34">
        <v>15000</v>
      </c>
      <c r="AF83" s="121"/>
      <c r="AG83" s="121"/>
      <c r="AH83" s="172">
        <v>15000</v>
      </c>
      <c r="AI83" s="137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2"/>
      <c r="F84" s="142"/>
      <c r="G84" s="142"/>
      <c r="H84" s="142"/>
      <c r="I84" s="142"/>
      <c r="J84" s="142"/>
      <c r="K84" s="142"/>
      <c r="L84" s="142"/>
      <c r="M84" s="153">
        <f>L84</f>
        <v>0</v>
      </c>
      <c r="N84" s="165"/>
      <c r="O84" s="150">
        <f>O85</f>
        <v>1930883.46</v>
      </c>
      <c r="P84" s="120">
        <f>P85</f>
        <v>1930883.46</v>
      </c>
      <c r="Q84" s="153">
        <f>P84</f>
        <v>1930883.46</v>
      </c>
      <c r="R84" s="121"/>
      <c r="S84" s="121"/>
      <c r="T84" s="153">
        <f>T85</f>
        <v>859642.65</v>
      </c>
      <c r="U84" s="153"/>
      <c r="V84" s="153">
        <f>P84*(0.9)</f>
        <v>1737795.114</v>
      </c>
      <c r="W84" s="153"/>
      <c r="X84" s="153">
        <f>X85</f>
        <v>859642.65</v>
      </c>
      <c r="Y84" s="137">
        <f>X84/P84*100</f>
        <v>44.52069054442053</v>
      </c>
      <c r="Z84" s="155">
        <f>Z85</f>
        <v>17397438</v>
      </c>
      <c r="AA84" s="153">
        <f aca="true" t="shared" si="15" ref="AA84:AA90">Z84/P84*100</f>
        <v>901.0092198935714</v>
      </c>
      <c r="AB84" s="154">
        <f aca="true" t="shared" si="16" ref="AB84:AB90">Z84-P84</f>
        <v>15466554.54</v>
      </c>
      <c r="AC84" s="121"/>
      <c r="AD84" s="119">
        <f t="shared" si="13"/>
        <v>7173700</v>
      </c>
      <c r="AE84" s="155">
        <f>AE85+AE91</f>
        <v>7173700</v>
      </c>
      <c r="AF84" s="121"/>
      <c r="AG84" s="121"/>
      <c r="AH84" s="140">
        <f>AH85</f>
        <v>5530620.200000001</v>
      </c>
      <c r="AI84" s="137">
        <f t="shared" si="14"/>
        <v>77.0957832081074</v>
      </c>
    </row>
    <row r="85" spans="1:37" ht="35.25" customHeight="1">
      <c r="A85" s="18"/>
      <c r="B85" s="18"/>
      <c r="C85" s="21"/>
      <c r="D85" s="141" t="s">
        <v>231</v>
      </c>
      <c r="E85" s="142"/>
      <c r="F85" s="142"/>
      <c r="G85" s="142"/>
      <c r="H85" s="142"/>
      <c r="I85" s="142"/>
      <c r="J85" s="142"/>
      <c r="K85" s="142"/>
      <c r="L85" s="142"/>
      <c r="M85" s="120">
        <v>0</v>
      </c>
      <c r="N85" s="165"/>
      <c r="O85" s="150">
        <f>P85</f>
        <v>1930883.46</v>
      </c>
      <c r="P85" s="144">
        <v>1930883.46</v>
      </c>
      <c r="Q85" s="151">
        <v>1589311.46</v>
      </c>
      <c r="R85" s="101"/>
      <c r="S85" s="101"/>
      <c r="T85" s="133">
        <f>201636.21+106959.16+388332+795.26+161920.02</f>
        <v>859642.65</v>
      </c>
      <c r="U85" s="133"/>
      <c r="V85" s="133">
        <f>V86+V87</f>
        <v>17397438</v>
      </c>
      <c r="W85" s="133">
        <v>10385400</v>
      </c>
      <c r="X85" s="151">
        <f>201636.21+106959.16+388332+795.26+161920.02</f>
        <v>859642.65</v>
      </c>
      <c r="Y85" s="152">
        <f>X85/P85*100</f>
        <v>44.52069054442053</v>
      </c>
      <c r="Z85" s="34">
        <v>17397438</v>
      </c>
      <c r="AA85" s="133">
        <f t="shared" si="15"/>
        <v>901.0092198935714</v>
      </c>
      <c r="AB85" s="134">
        <f t="shared" si="16"/>
        <v>15466554.54</v>
      </c>
      <c r="AC85" s="101" t="s">
        <v>134</v>
      </c>
      <c r="AD85" s="171">
        <f t="shared" si="13"/>
        <v>7023700</v>
      </c>
      <c r="AE85" s="34">
        <v>7023700</v>
      </c>
      <c r="AF85" s="121"/>
      <c r="AG85" s="121"/>
      <c r="AH85" s="172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+256434.81+87594.44</f>
        <v>5530620.200000001</v>
      </c>
      <c r="AI85" s="152">
        <f t="shared" si="14"/>
        <v>78.74226120136112</v>
      </c>
      <c r="AK85" s="28"/>
    </row>
    <row r="86" spans="1:35" ht="17.25" hidden="1">
      <c r="A86" s="18"/>
      <c r="B86" s="18"/>
      <c r="C86" s="21"/>
      <c r="D86" s="141" t="s">
        <v>135</v>
      </c>
      <c r="E86" s="142"/>
      <c r="F86" s="142"/>
      <c r="G86" s="142"/>
      <c r="H86" s="142"/>
      <c r="I86" s="142"/>
      <c r="J86" s="142"/>
      <c r="K86" s="142"/>
      <c r="L86" s="142"/>
      <c r="M86" s="120">
        <v>0</v>
      </c>
      <c r="N86" s="165"/>
      <c r="O86" s="147"/>
      <c r="P86" s="25">
        <v>1145765.29</v>
      </c>
      <c r="Q86" s="151"/>
      <c r="R86" s="121"/>
      <c r="S86" s="121"/>
      <c r="T86" s="130"/>
      <c r="U86" s="130"/>
      <c r="V86" s="151">
        <v>12523990</v>
      </c>
      <c r="W86" s="151"/>
      <c r="X86" s="153"/>
      <c r="Y86" s="137"/>
      <c r="Z86" s="144">
        <v>12523990</v>
      </c>
      <c r="AA86" s="130">
        <f t="shared" si="15"/>
        <v>1093.0676735721327</v>
      </c>
      <c r="AB86" s="163">
        <f t="shared" si="16"/>
        <v>11378224.71</v>
      </c>
      <c r="AC86" s="121"/>
      <c r="AD86" s="171">
        <f t="shared" si="13"/>
        <v>0</v>
      </c>
      <c r="AE86" s="34"/>
      <c r="AF86" s="121"/>
      <c r="AG86" s="121"/>
      <c r="AH86" s="172"/>
      <c r="AI86" s="152" t="e">
        <f t="shared" si="14"/>
        <v>#DIV/0!</v>
      </c>
    </row>
    <row r="87" spans="1:35" ht="17.25" hidden="1">
      <c r="A87" s="18"/>
      <c r="B87" s="18"/>
      <c r="C87" s="21"/>
      <c r="D87" s="141" t="s">
        <v>136</v>
      </c>
      <c r="E87" s="142"/>
      <c r="F87" s="142"/>
      <c r="G87" s="142"/>
      <c r="H87" s="142"/>
      <c r="I87" s="142"/>
      <c r="J87" s="142"/>
      <c r="K87" s="142"/>
      <c r="L87" s="142"/>
      <c r="M87" s="120">
        <v>0</v>
      </c>
      <c r="N87" s="165"/>
      <c r="O87" s="147"/>
      <c r="P87" s="25">
        <v>443546.17</v>
      </c>
      <c r="Q87" s="151"/>
      <c r="R87" s="121"/>
      <c r="S87" s="121"/>
      <c r="T87" s="130"/>
      <c r="U87" s="130"/>
      <c r="V87" s="151">
        <v>4873448</v>
      </c>
      <c r="W87" s="151"/>
      <c r="X87" s="153"/>
      <c r="Y87" s="137"/>
      <c r="Z87" s="144">
        <v>4873448</v>
      </c>
      <c r="AA87" s="130">
        <f t="shared" si="15"/>
        <v>1098.746495770666</v>
      </c>
      <c r="AB87" s="163">
        <f t="shared" si="16"/>
        <v>4429901.83</v>
      </c>
      <c r="AC87" s="121"/>
      <c r="AD87" s="171">
        <f t="shared" si="13"/>
        <v>0</v>
      </c>
      <c r="AE87" s="34"/>
      <c r="AF87" s="121"/>
      <c r="AG87" s="121"/>
      <c r="AH87" s="172"/>
      <c r="AI87" s="152" t="e">
        <f t="shared" si="14"/>
        <v>#DIV/0!</v>
      </c>
    </row>
    <row r="88" spans="1:35" ht="17.25" hidden="1">
      <c r="A88" s="18" t="s">
        <v>137</v>
      </c>
      <c r="B88" s="18"/>
      <c r="C88" s="27"/>
      <c r="D88" s="173" t="s">
        <v>138</v>
      </c>
      <c r="E88" s="174">
        <f>20554.4+1254+42.4</f>
        <v>21850.800000000003</v>
      </c>
      <c r="F88" s="174">
        <f>20118.2+1254+42.4</f>
        <v>21414.600000000002</v>
      </c>
      <c r="G88" s="174">
        <f>166.5+18.4</f>
        <v>184.9</v>
      </c>
      <c r="H88" s="174">
        <f>19951.7+1254+24</f>
        <v>21229.7</v>
      </c>
      <c r="I88" s="175">
        <f>25447.6+198</f>
        <v>25645.6</v>
      </c>
      <c r="J88" s="175">
        <v>10120.4</v>
      </c>
      <c r="K88" s="174">
        <v>21229.7</v>
      </c>
      <c r="L88" s="175"/>
      <c r="M88" s="130">
        <f>M89+M90</f>
        <v>25052300</v>
      </c>
      <c r="N88" s="175"/>
      <c r="O88" s="170">
        <f>P88+Q88</f>
        <v>18162154.96</v>
      </c>
      <c r="P88" s="169"/>
      <c r="Q88" s="130">
        <f>Q89+Q90</f>
        <v>18162154.96</v>
      </c>
      <c r="R88" s="121"/>
      <c r="S88" s="121"/>
      <c r="T88" s="130">
        <f>T89+T90</f>
        <v>18162151.85</v>
      </c>
      <c r="U88" s="130"/>
      <c r="V88" s="130">
        <v>0</v>
      </c>
      <c r="W88" s="130"/>
      <c r="X88" s="130">
        <f>X89+X90</f>
        <v>18162151.85</v>
      </c>
      <c r="Y88" s="137" t="e">
        <f>X88/P88*100</f>
        <v>#DIV/0!</v>
      </c>
      <c r="Z88" s="169">
        <f>Z89+Z90</f>
        <v>0</v>
      </c>
      <c r="AA88" s="130" t="e">
        <f t="shared" si="15"/>
        <v>#DIV/0!</v>
      </c>
      <c r="AB88" s="163">
        <f t="shared" si="16"/>
        <v>0</v>
      </c>
      <c r="AC88" s="121"/>
      <c r="AD88" s="171">
        <f t="shared" si="13"/>
        <v>0</v>
      </c>
      <c r="AE88" s="34"/>
      <c r="AF88" s="121"/>
      <c r="AG88" s="121"/>
      <c r="AH88" s="172"/>
      <c r="AI88" s="152" t="e">
        <f t="shared" si="14"/>
        <v>#DIV/0!</v>
      </c>
    </row>
    <row r="89" spans="1:35" ht="46.5" hidden="1">
      <c r="A89" s="20"/>
      <c r="B89" s="20"/>
      <c r="C89" s="263" t="s">
        <v>139</v>
      </c>
      <c r="D89" s="176" t="s">
        <v>85</v>
      </c>
      <c r="E89" s="142"/>
      <c r="F89" s="142"/>
      <c r="G89" s="142"/>
      <c r="H89" s="142"/>
      <c r="I89" s="177"/>
      <c r="J89" s="177"/>
      <c r="K89" s="177"/>
      <c r="L89" s="178"/>
      <c r="M89" s="179">
        <v>7232100</v>
      </c>
      <c r="N89" s="165"/>
      <c r="O89" s="147">
        <f>P89+Q89</f>
        <v>13707388.44</v>
      </c>
      <c r="P89" s="144">
        <f>Q89+R89</f>
        <v>6853694.22</v>
      </c>
      <c r="Q89" s="129">
        <f>7232100-378405.78</f>
        <v>6853694.22</v>
      </c>
      <c r="R89" s="121"/>
      <c r="S89" s="121"/>
      <c r="T89" s="129">
        <f>1341065+264830+1439254.25+119395.75+507870+59340+35936.5+335196.18+472850.38+220509.52+38684.18+107682.7+71415+175089.2+268474.5+377603.92+171362.7+194439.28+227897.54+71415+353382.62</f>
        <v>6853694.220000001</v>
      </c>
      <c r="U89" s="129"/>
      <c r="V89" s="130">
        <v>0</v>
      </c>
      <c r="W89" s="130"/>
      <c r="X89" s="129">
        <f>1341065+264830+1439254.25+119395.75+507870+59340+35936.5+335196.18+472850.38+220509.52+38684.18+107682.7+71415+175089.2+268474.5+377603.92+171362.7+194439.28+227897.54+71415+353382.62</f>
        <v>6853694.220000001</v>
      </c>
      <c r="Y89" s="148">
        <f>X89/P89*100</f>
        <v>100.00000000000003</v>
      </c>
      <c r="Z89" s="34">
        <v>0</v>
      </c>
      <c r="AA89" s="130">
        <f t="shared" si="15"/>
        <v>0</v>
      </c>
      <c r="AB89" s="163">
        <f t="shared" si="16"/>
        <v>-6853694.22</v>
      </c>
      <c r="AC89" s="121"/>
      <c r="AD89" s="171">
        <f t="shared" si="13"/>
        <v>0</v>
      </c>
      <c r="AE89" s="34"/>
      <c r="AF89" s="121"/>
      <c r="AG89" s="121"/>
      <c r="AH89" s="172"/>
      <c r="AI89" s="152" t="e">
        <f t="shared" si="14"/>
        <v>#DIV/0!</v>
      </c>
    </row>
    <row r="90" spans="1:35" ht="46.5" hidden="1">
      <c r="A90" s="20"/>
      <c r="B90" s="20"/>
      <c r="C90" s="263"/>
      <c r="D90" s="180" t="s">
        <v>86</v>
      </c>
      <c r="E90" s="142"/>
      <c r="F90" s="142"/>
      <c r="G90" s="142"/>
      <c r="H90" s="142"/>
      <c r="I90" s="177"/>
      <c r="J90" s="177"/>
      <c r="K90" s="177"/>
      <c r="L90" s="178"/>
      <c r="M90" s="179">
        <v>17820200</v>
      </c>
      <c r="N90" s="165"/>
      <c r="O90" s="147">
        <f>P90+Q90</f>
        <v>22616921.48</v>
      </c>
      <c r="P90" s="144">
        <f>Q90+R90</f>
        <v>11308460.74</v>
      </c>
      <c r="Q90" s="129">
        <f>17820200-6511739.26</f>
        <v>11308460.74</v>
      </c>
      <c r="R90" s="121"/>
      <c r="S90" s="121"/>
      <c r="T90" s="129">
        <f>485919.56+3050150.33+4015340.79+1228787.45+1461675.45+214759.4+851824.65</f>
        <v>11308457.629999999</v>
      </c>
      <c r="U90" s="129"/>
      <c r="V90" s="130">
        <v>0</v>
      </c>
      <c r="W90" s="130"/>
      <c r="X90" s="129">
        <f>485919.56+3050150.33+4015340.79+1228787.45+1461675.45+214759.4+851824.65</f>
        <v>11308457.629999999</v>
      </c>
      <c r="Y90" s="148">
        <f>X90/P90*100</f>
        <v>99.99997249846754</v>
      </c>
      <c r="Z90" s="34">
        <v>0</v>
      </c>
      <c r="AA90" s="130">
        <f t="shared" si="15"/>
        <v>0</v>
      </c>
      <c r="AB90" s="163">
        <f t="shared" si="16"/>
        <v>-11308460.74</v>
      </c>
      <c r="AC90" s="121"/>
      <c r="AD90" s="171">
        <f t="shared" si="13"/>
        <v>0</v>
      </c>
      <c r="AE90" s="34"/>
      <c r="AF90" s="121"/>
      <c r="AG90" s="121"/>
      <c r="AH90" s="172"/>
      <c r="AI90" s="152" t="e">
        <f t="shared" si="14"/>
        <v>#DIV/0!</v>
      </c>
    </row>
    <row r="91" spans="1:35" ht="33.75" customHeight="1">
      <c r="A91" s="20"/>
      <c r="B91" s="20"/>
      <c r="C91" s="83"/>
      <c r="D91" s="180" t="s">
        <v>208</v>
      </c>
      <c r="E91" s="142"/>
      <c r="F91" s="142"/>
      <c r="G91" s="142"/>
      <c r="H91" s="142"/>
      <c r="I91" s="177"/>
      <c r="J91" s="177"/>
      <c r="K91" s="177"/>
      <c r="L91" s="178"/>
      <c r="M91" s="179"/>
      <c r="N91" s="165"/>
      <c r="O91" s="147"/>
      <c r="P91" s="144"/>
      <c r="Q91" s="129"/>
      <c r="R91" s="121"/>
      <c r="S91" s="121"/>
      <c r="T91" s="129"/>
      <c r="U91" s="129"/>
      <c r="V91" s="130"/>
      <c r="W91" s="130"/>
      <c r="X91" s="129"/>
      <c r="Y91" s="148"/>
      <c r="Z91" s="34"/>
      <c r="AA91" s="130"/>
      <c r="AB91" s="163"/>
      <c r="AC91" s="121"/>
      <c r="AD91" s="171">
        <f>AE91</f>
        <v>150000</v>
      </c>
      <c r="AE91" s="34">
        <v>150000</v>
      </c>
      <c r="AF91" s="121"/>
      <c r="AG91" s="121"/>
      <c r="AH91" s="172">
        <v>0</v>
      </c>
      <c r="AI91" s="152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2"/>
      <c r="F92" s="142"/>
      <c r="G92" s="142"/>
      <c r="H92" s="142"/>
      <c r="I92" s="142"/>
      <c r="J92" s="142"/>
      <c r="K92" s="142"/>
      <c r="L92" s="142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3">
        <v>212856.4</v>
      </c>
      <c r="W92" s="153"/>
      <c r="X92" s="120">
        <v>0</v>
      </c>
      <c r="Y92" s="120">
        <v>0</v>
      </c>
      <c r="Z92" s="155">
        <f>Z93+Z94</f>
        <v>212856.4</v>
      </c>
      <c r="AA92" s="153"/>
      <c r="AB92" s="154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5">
        <f>AE93+AE94</f>
        <v>212856.4</v>
      </c>
      <c r="AF92" s="121"/>
      <c r="AG92" s="121"/>
      <c r="AH92" s="140">
        <f>AH93+AH94</f>
        <v>0</v>
      </c>
      <c r="AI92" s="137">
        <f t="shared" si="14"/>
        <v>0</v>
      </c>
    </row>
    <row r="93" spans="1:35" ht="18.75">
      <c r="A93" s="20"/>
      <c r="B93" s="20"/>
      <c r="C93" s="21"/>
      <c r="D93" s="141" t="s">
        <v>144</v>
      </c>
      <c r="E93" s="174"/>
      <c r="F93" s="174"/>
      <c r="G93" s="174"/>
      <c r="H93" s="174"/>
      <c r="I93" s="174"/>
      <c r="J93" s="174"/>
      <c r="K93" s="174"/>
      <c r="L93" s="174"/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/>
      <c r="V93" s="130">
        <f>P93*(0.9)</f>
        <v>0</v>
      </c>
      <c r="W93" s="130"/>
      <c r="X93" s="144">
        <v>0</v>
      </c>
      <c r="Y93" s="144">
        <v>0</v>
      </c>
      <c r="Z93" s="34">
        <v>100000</v>
      </c>
      <c r="AA93" s="130" t="e">
        <f aca="true" t="shared" si="19" ref="AA93:AA106">Z93/P93*100</f>
        <v>#DIV/0!</v>
      </c>
      <c r="AB93" s="163">
        <f t="shared" si="17"/>
        <v>100000</v>
      </c>
      <c r="AC93" s="121"/>
      <c r="AD93" s="171">
        <f t="shared" si="18"/>
        <v>100000</v>
      </c>
      <c r="AE93" s="34">
        <v>100000</v>
      </c>
      <c r="AF93" s="121"/>
      <c r="AG93" s="121"/>
      <c r="AH93" s="172">
        <v>0</v>
      </c>
      <c r="AI93" s="152">
        <f t="shared" si="14"/>
        <v>0</v>
      </c>
    </row>
    <row r="94" spans="1:35" ht="19.5" customHeight="1">
      <c r="A94" s="20"/>
      <c r="B94" s="20"/>
      <c r="C94" s="21"/>
      <c r="D94" s="141" t="s">
        <v>145</v>
      </c>
      <c r="E94" s="174"/>
      <c r="F94" s="174"/>
      <c r="G94" s="174"/>
      <c r="H94" s="174"/>
      <c r="I94" s="174"/>
      <c r="J94" s="174"/>
      <c r="K94" s="174"/>
      <c r="L94" s="174"/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/>
      <c r="V94" s="130">
        <f>P94*(0.9)</f>
        <v>0</v>
      </c>
      <c r="W94" s="130"/>
      <c r="X94" s="144">
        <v>0</v>
      </c>
      <c r="Y94" s="144">
        <v>0</v>
      </c>
      <c r="Z94" s="34">
        <v>112856.4</v>
      </c>
      <c r="AA94" s="130" t="e">
        <f t="shared" si="19"/>
        <v>#DIV/0!</v>
      </c>
      <c r="AB94" s="163">
        <f t="shared" si="17"/>
        <v>112856.4</v>
      </c>
      <c r="AC94" s="121"/>
      <c r="AD94" s="171">
        <f t="shared" si="18"/>
        <v>112856.4</v>
      </c>
      <c r="AE94" s="34">
        <v>112856.4</v>
      </c>
      <c r="AF94" s="121"/>
      <c r="AG94" s="121"/>
      <c r="AH94" s="172">
        <v>0</v>
      </c>
      <c r="AI94" s="152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1" t="s">
        <v>148</v>
      </c>
      <c r="E95" s="182"/>
      <c r="F95" s="182"/>
      <c r="G95" s="182"/>
      <c r="H95" s="182"/>
      <c r="I95" s="182"/>
      <c r="J95" s="182"/>
      <c r="K95" s="182"/>
      <c r="L95" s="182"/>
      <c r="M95" s="183">
        <f>M97+M96</f>
        <v>325000</v>
      </c>
      <c r="N95" s="182"/>
      <c r="O95" s="150">
        <f aca="true" t="shared" si="20" ref="O95:O106">P95+Q95</f>
        <v>2067000</v>
      </c>
      <c r="P95" s="120">
        <f aca="true" t="shared" si="21" ref="P95:P106">Q95+R95</f>
        <v>1033500</v>
      </c>
      <c r="Q95" s="184">
        <f>Q97+Q96</f>
        <v>1033500</v>
      </c>
      <c r="R95" s="101"/>
      <c r="S95" s="101"/>
      <c r="T95" s="184">
        <f>T97+T96</f>
        <v>669069.4899999999</v>
      </c>
      <c r="U95" s="184"/>
      <c r="V95" s="184">
        <f>V97+V96</f>
        <v>1189112</v>
      </c>
      <c r="W95" s="151"/>
      <c r="X95" s="184">
        <f>X97+X96</f>
        <v>669069.4899999999</v>
      </c>
      <c r="Y95" s="152">
        <f>X95/P95*100</f>
        <v>64.73821867440735</v>
      </c>
      <c r="Z95" s="185">
        <f>Z97+Z96</f>
        <v>1189112</v>
      </c>
      <c r="AA95" s="151">
        <f t="shared" si="19"/>
        <v>115.05679729075955</v>
      </c>
      <c r="AB95" s="168">
        <f t="shared" si="17"/>
        <v>155612</v>
      </c>
      <c r="AC95" s="256" t="s">
        <v>149</v>
      </c>
      <c r="AD95" s="119">
        <f t="shared" si="18"/>
        <v>1189112</v>
      </c>
      <c r="AE95" s="186">
        <v>1189112</v>
      </c>
      <c r="AF95" s="121"/>
      <c r="AG95" s="121"/>
      <c r="AH95" s="140">
        <f>AH96+AH97</f>
        <v>197114.32</v>
      </c>
      <c r="AI95" s="137">
        <f t="shared" si="14"/>
        <v>16.57659833556469</v>
      </c>
    </row>
    <row r="96" spans="1:35" ht="18.75">
      <c r="A96" s="20"/>
      <c r="B96" s="20"/>
      <c r="C96" s="21" t="s">
        <v>150</v>
      </c>
      <c r="D96" s="141" t="s">
        <v>151</v>
      </c>
      <c r="E96" s="182"/>
      <c r="F96" s="182"/>
      <c r="G96" s="182"/>
      <c r="H96" s="182"/>
      <c r="I96" s="182"/>
      <c r="J96" s="182"/>
      <c r="K96" s="182"/>
      <c r="L96" s="182"/>
      <c r="M96" s="187">
        <v>225000</v>
      </c>
      <c r="N96" s="182"/>
      <c r="O96" s="147">
        <f t="shared" si="20"/>
        <v>1867000</v>
      </c>
      <c r="P96" s="144">
        <f t="shared" si="21"/>
        <v>933500</v>
      </c>
      <c r="Q96" s="188">
        <f>225000+378500+30000+300000</f>
        <v>933500</v>
      </c>
      <c r="R96" s="101"/>
      <c r="S96" s="101"/>
      <c r="T96" s="188">
        <f>12823.97+314438.51+1053.06+121644.29+64211.93+20568.88+13082.39+4993.7+64170</f>
        <v>616986.7299999999</v>
      </c>
      <c r="U96" s="188"/>
      <c r="V96" s="158">
        <v>1089113.5</v>
      </c>
      <c r="W96" s="133"/>
      <c r="X96" s="188">
        <f>12823.97+314438.51+1053.06+121644.29+64211.93+20568.88+13082.39+4993.7+64170</f>
        <v>616986.7299999999</v>
      </c>
      <c r="Y96" s="152">
        <f>X96/P96*100</f>
        <v>66.09391858596678</v>
      </c>
      <c r="Z96" s="34">
        <v>1089113.5</v>
      </c>
      <c r="AA96" s="133">
        <f t="shared" si="19"/>
        <v>116.66989823245848</v>
      </c>
      <c r="AB96" s="134">
        <f t="shared" si="17"/>
        <v>155613.5</v>
      </c>
      <c r="AC96" s="256"/>
      <c r="AD96" s="171">
        <f t="shared" si="18"/>
        <v>1089113.5</v>
      </c>
      <c r="AE96" s="179">
        <f>Z96</f>
        <v>1089113.5</v>
      </c>
      <c r="AF96" s="121"/>
      <c r="AG96" s="121"/>
      <c r="AH96" s="172">
        <f>64659.38+110882.59</f>
        <v>175541.97</v>
      </c>
      <c r="AI96" s="152">
        <f t="shared" si="14"/>
        <v>16.117876603310858</v>
      </c>
    </row>
    <row r="97" spans="1:35" ht="18.75">
      <c r="A97" s="20"/>
      <c r="B97" s="20"/>
      <c r="C97" s="21" t="s">
        <v>150</v>
      </c>
      <c r="D97" s="141" t="s">
        <v>152</v>
      </c>
      <c r="E97" s="182"/>
      <c r="F97" s="182"/>
      <c r="G97" s="182"/>
      <c r="H97" s="182"/>
      <c r="I97" s="182"/>
      <c r="J97" s="182"/>
      <c r="K97" s="182"/>
      <c r="L97" s="182"/>
      <c r="M97" s="187">
        <v>100000</v>
      </c>
      <c r="N97" s="182"/>
      <c r="O97" s="147">
        <f t="shared" si="20"/>
        <v>200000</v>
      </c>
      <c r="P97" s="144">
        <f t="shared" si="21"/>
        <v>100000</v>
      </c>
      <c r="Q97" s="188">
        <v>100000</v>
      </c>
      <c r="R97" s="101"/>
      <c r="S97" s="101"/>
      <c r="T97" s="188">
        <f>385.27+6084.22+13129.31+12261.98+8270.72+11951.26</f>
        <v>52082.76</v>
      </c>
      <c r="U97" s="188"/>
      <c r="V97" s="158">
        <v>99998.5</v>
      </c>
      <c r="W97" s="133"/>
      <c r="X97" s="188">
        <f>385.27+6084.22+13129.31+12261.98+8270.72+11951.26</f>
        <v>52082.76</v>
      </c>
      <c r="Y97" s="152">
        <f>X97/P97*100</f>
        <v>52.08276000000001</v>
      </c>
      <c r="Z97" s="34">
        <v>99998.5</v>
      </c>
      <c r="AA97" s="133">
        <f t="shared" si="19"/>
        <v>99.9985</v>
      </c>
      <c r="AB97" s="134">
        <f t="shared" si="17"/>
        <v>-1.5</v>
      </c>
      <c r="AC97" s="256"/>
      <c r="AD97" s="171">
        <f t="shared" si="18"/>
        <v>99998.5</v>
      </c>
      <c r="AE97" s="179">
        <f>Z97</f>
        <v>99998.5</v>
      </c>
      <c r="AF97" s="121"/>
      <c r="AG97" s="121"/>
      <c r="AH97" s="172">
        <f>3627.67+2979.18+4331.94+2234.3+2184.74+3594.72+2619.8</f>
        <v>21572.35</v>
      </c>
      <c r="AI97" s="152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2" t="e">
        <f>#REF!+#REF!</f>
        <v>#REF!</v>
      </c>
      <c r="F98" s="142" t="e">
        <f>#REF!+#REF!</f>
        <v>#REF!</v>
      </c>
      <c r="G98" s="142" t="e">
        <f>#REF!+#REF!</f>
        <v>#REF!</v>
      </c>
      <c r="H98" s="142" t="e">
        <f>#REF!+#REF!</f>
        <v>#REF!</v>
      </c>
      <c r="I98" s="142" t="e">
        <f>#REF!+#REF!</f>
        <v>#REF!</v>
      </c>
      <c r="J98" s="142"/>
      <c r="K98" s="142">
        <v>3916.0000000000005</v>
      </c>
      <c r="L98" s="142"/>
      <c r="M98" s="120">
        <v>59112.8</v>
      </c>
      <c r="N98" s="142"/>
      <c r="O98" s="150">
        <f t="shared" si="20"/>
        <v>118225.6</v>
      </c>
      <c r="P98" s="120">
        <f t="shared" si="21"/>
        <v>59112.8</v>
      </c>
      <c r="Q98" s="153">
        <f>59136-23.2</f>
        <v>59112.8</v>
      </c>
      <c r="R98" s="121"/>
      <c r="S98" s="121"/>
      <c r="T98" s="153">
        <v>15318.9</v>
      </c>
      <c r="U98" s="153"/>
      <c r="V98" s="153">
        <v>208100</v>
      </c>
      <c r="W98" s="153"/>
      <c r="X98" s="153">
        <v>15318.9</v>
      </c>
      <c r="Y98" s="137">
        <f>X98/P98*100</f>
        <v>25.91469191105818</v>
      </c>
      <c r="Z98" s="155">
        <v>208100</v>
      </c>
      <c r="AA98" s="153">
        <f t="shared" si="19"/>
        <v>352.03881392862456</v>
      </c>
      <c r="AB98" s="154">
        <f t="shared" si="17"/>
        <v>148987.2</v>
      </c>
      <c r="AC98" s="121" t="s">
        <v>156</v>
      </c>
      <c r="AD98" s="119">
        <f t="shared" si="18"/>
        <v>76052.53</v>
      </c>
      <c r="AE98" s="155">
        <f>P98+11241.06+5698.67</f>
        <v>76052.53</v>
      </c>
      <c r="AF98" s="121"/>
      <c r="AG98" s="121"/>
      <c r="AH98" s="140">
        <v>32017.68</v>
      </c>
      <c r="AI98" s="137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2"/>
      <c r="F99" s="142"/>
      <c r="G99" s="142"/>
      <c r="H99" s="142"/>
      <c r="I99" s="142"/>
      <c r="J99" s="142"/>
      <c r="K99" s="142"/>
      <c r="L99" s="142"/>
      <c r="M99" s="120">
        <v>0</v>
      </c>
      <c r="N99" s="142"/>
      <c r="O99" s="150">
        <f t="shared" si="20"/>
        <v>54000</v>
      </c>
      <c r="P99" s="120">
        <f t="shared" si="21"/>
        <v>27000</v>
      </c>
      <c r="Q99" s="153">
        <v>27000</v>
      </c>
      <c r="R99" s="121"/>
      <c r="S99" s="121"/>
      <c r="T99" s="153">
        <f>8994.7+8994.7</f>
        <v>17989.4</v>
      </c>
      <c r="U99" s="153"/>
      <c r="V99" s="153">
        <v>62426.4</v>
      </c>
      <c r="W99" s="153"/>
      <c r="X99" s="153">
        <f>8994.7+8994.7</f>
        <v>17989.4</v>
      </c>
      <c r="Y99" s="137"/>
      <c r="Z99" s="155">
        <v>62426.4</v>
      </c>
      <c r="AA99" s="153">
        <f t="shared" si="19"/>
        <v>231.20888888888888</v>
      </c>
      <c r="AB99" s="154">
        <f t="shared" si="17"/>
        <v>35426.4</v>
      </c>
      <c r="AC99" s="121" t="s">
        <v>79</v>
      </c>
      <c r="AD99" s="119">
        <f t="shared" si="18"/>
        <v>107172</v>
      </c>
      <c r="AE99" s="155">
        <f>62426.4+44745.6</f>
        <v>107172</v>
      </c>
      <c r="AF99" s="121"/>
      <c r="AG99" s="121"/>
      <c r="AH99" s="140">
        <f>20125.35+17371.35+1115.07+798.02+17760.4+17760.4+938.05</f>
        <v>75868.64</v>
      </c>
      <c r="AI99" s="137">
        <f t="shared" si="14"/>
        <v>70.79147538536185</v>
      </c>
    </row>
    <row r="100" spans="1:35" ht="30" hidden="1">
      <c r="A100" s="18" t="s">
        <v>160</v>
      </c>
      <c r="B100" s="18" t="s">
        <v>161</v>
      </c>
      <c r="C100" s="19" t="s">
        <v>162</v>
      </c>
      <c r="D100" s="173" t="s">
        <v>163</v>
      </c>
      <c r="E100" s="174"/>
      <c r="F100" s="174"/>
      <c r="G100" s="174"/>
      <c r="H100" s="174"/>
      <c r="I100" s="174"/>
      <c r="J100" s="174"/>
      <c r="K100" s="174"/>
      <c r="L100" s="174"/>
      <c r="M100" s="169">
        <v>0</v>
      </c>
      <c r="N100" s="174"/>
      <c r="O100" s="170">
        <f t="shared" si="20"/>
        <v>10951615.36</v>
      </c>
      <c r="P100" s="169">
        <f t="shared" si="21"/>
        <v>5475807.68</v>
      </c>
      <c r="Q100" s="130">
        <v>5475807.68</v>
      </c>
      <c r="R100" s="189"/>
      <c r="S100" s="121"/>
      <c r="T100" s="188">
        <v>5475807.68</v>
      </c>
      <c r="U100" s="188"/>
      <c r="V100" s="130">
        <v>0</v>
      </c>
      <c r="W100" s="130"/>
      <c r="X100" s="188">
        <v>5475807.68</v>
      </c>
      <c r="Y100" s="152">
        <f>X100/P100*100</f>
        <v>100</v>
      </c>
      <c r="Z100" s="169">
        <f>Z101+Z102+Z103</f>
        <v>0</v>
      </c>
      <c r="AA100" s="130">
        <f t="shared" si="19"/>
        <v>0</v>
      </c>
      <c r="AB100" s="163">
        <f t="shared" si="17"/>
        <v>-5475807.68</v>
      </c>
      <c r="AC100" s="121"/>
      <c r="AD100" s="119">
        <f t="shared" si="18"/>
        <v>0</v>
      </c>
      <c r="AE100" s="169">
        <f>AE101+AE102+AE103</f>
        <v>0</v>
      </c>
      <c r="AF100" s="121"/>
      <c r="AG100" s="121"/>
      <c r="AH100" s="140"/>
      <c r="AI100" s="137" t="e">
        <f t="shared" si="14"/>
        <v>#DIV/0!</v>
      </c>
    </row>
    <row r="101" spans="1:35" ht="30" hidden="1">
      <c r="A101" s="18" t="s">
        <v>164</v>
      </c>
      <c r="B101" s="18" t="s">
        <v>165</v>
      </c>
      <c r="C101" s="19" t="s">
        <v>162</v>
      </c>
      <c r="D101" s="173" t="s">
        <v>166</v>
      </c>
      <c r="E101" s="174"/>
      <c r="F101" s="174"/>
      <c r="G101" s="174"/>
      <c r="H101" s="174"/>
      <c r="I101" s="174"/>
      <c r="J101" s="174"/>
      <c r="K101" s="174"/>
      <c r="L101" s="174"/>
      <c r="M101" s="169">
        <v>0</v>
      </c>
      <c r="N101" s="174"/>
      <c r="O101" s="170">
        <f t="shared" si="20"/>
        <v>340762.28</v>
      </c>
      <c r="P101" s="169">
        <f t="shared" si="21"/>
        <v>170381.14</v>
      </c>
      <c r="Q101" s="130">
        <f>550000-379618.86</f>
        <v>170381.14</v>
      </c>
      <c r="R101" s="189"/>
      <c r="S101" s="121"/>
      <c r="T101" s="188">
        <v>170381.14</v>
      </c>
      <c r="U101" s="188"/>
      <c r="V101" s="130">
        <v>0</v>
      </c>
      <c r="W101" s="130"/>
      <c r="X101" s="188">
        <v>170381.14</v>
      </c>
      <c r="Y101" s="152">
        <f>X101/P101*100</f>
        <v>100</v>
      </c>
      <c r="Z101" s="169">
        <f>Z102+Z103+Z104</f>
        <v>0</v>
      </c>
      <c r="AA101" s="130">
        <f t="shared" si="19"/>
        <v>0</v>
      </c>
      <c r="AB101" s="163">
        <f t="shared" si="17"/>
        <v>-170381.14</v>
      </c>
      <c r="AC101" s="121"/>
      <c r="AD101" s="119">
        <f t="shared" si="18"/>
        <v>0</v>
      </c>
      <c r="AE101" s="169">
        <f>AE102+AE103+AE104</f>
        <v>0</v>
      </c>
      <c r="AF101" s="121"/>
      <c r="AG101" s="121"/>
      <c r="AH101" s="140"/>
      <c r="AI101" s="137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3" t="s">
        <v>169</v>
      </c>
      <c r="E102" s="174"/>
      <c r="F102" s="174"/>
      <c r="G102" s="174"/>
      <c r="H102" s="174"/>
      <c r="I102" s="174"/>
      <c r="J102" s="174"/>
      <c r="K102" s="174"/>
      <c r="L102" s="174"/>
      <c r="M102" s="169">
        <v>0</v>
      </c>
      <c r="N102" s="174"/>
      <c r="O102" s="170">
        <f t="shared" si="20"/>
        <v>610364</v>
      </c>
      <c r="P102" s="169">
        <f t="shared" si="21"/>
        <v>305182</v>
      </c>
      <c r="Q102" s="130">
        <v>305182</v>
      </c>
      <c r="R102" s="189"/>
      <c r="S102" s="121"/>
      <c r="T102" s="188"/>
      <c r="U102" s="188"/>
      <c r="V102" s="130">
        <v>0</v>
      </c>
      <c r="W102" s="130"/>
      <c r="X102" s="188"/>
      <c r="Y102" s="152"/>
      <c r="Z102" s="169">
        <f>Z103+Z104+Z105</f>
        <v>0</v>
      </c>
      <c r="AA102" s="130">
        <f t="shared" si="19"/>
        <v>0</v>
      </c>
      <c r="AB102" s="163">
        <f t="shared" si="17"/>
        <v>-305182</v>
      </c>
      <c r="AC102" s="121"/>
      <c r="AD102" s="119">
        <f t="shared" si="18"/>
        <v>0</v>
      </c>
      <c r="AE102" s="169">
        <f>AE103+AE104+AE105</f>
        <v>0</v>
      </c>
      <c r="AF102" s="121"/>
      <c r="AG102" s="121"/>
      <c r="AH102" s="140"/>
      <c r="AI102" s="137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3" t="s">
        <v>173</v>
      </c>
      <c r="E103" s="174"/>
      <c r="F103" s="174"/>
      <c r="G103" s="174"/>
      <c r="H103" s="174"/>
      <c r="I103" s="174"/>
      <c r="J103" s="174"/>
      <c r="K103" s="174"/>
      <c r="L103" s="174"/>
      <c r="M103" s="169">
        <f>M104+M105+M106</f>
        <v>0</v>
      </c>
      <c r="N103" s="174"/>
      <c r="O103" s="170">
        <f t="shared" si="20"/>
        <v>20012024</v>
      </c>
      <c r="P103" s="169">
        <f t="shared" si="21"/>
        <v>10006012</v>
      </c>
      <c r="Q103" s="130">
        <f>Q104+Q105+Q106</f>
        <v>10006012</v>
      </c>
      <c r="R103" s="190"/>
      <c r="S103" s="121"/>
      <c r="T103" s="130">
        <f>T104+T105+T106</f>
        <v>7554942</v>
      </c>
      <c r="U103" s="130"/>
      <c r="V103" s="130">
        <v>0</v>
      </c>
      <c r="W103" s="130"/>
      <c r="X103" s="130">
        <f>X104+X105+X106</f>
        <v>7554942</v>
      </c>
      <c r="Y103" s="122">
        <f>X103/P103*100</f>
        <v>75.50402697898024</v>
      </c>
      <c r="Z103" s="169">
        <f>Z104+Z105+Z106</f>
        <v>0</v>
      </c>
      <c r="AA103" s="130">
        <f t="shared" si="19"/>
        <v>0</v>
      </c>
      <c r="AB103" s="163">
        <f t="shared" si="17"/>
        <v>-10006012</v>
      </c>
      <c r="AC103" s="121"/>
      <c r="AD103" s="119">
        <f t="shared" si="18"/>
        <v>0</v>
      </c>
      <c r="AE103" s="169">
        <f>AE104+AE105+AE106</f>
        <v>0</v>
      </c>
      <c r="AF103" s="121"/>
      <c r="AG103" s="121"/>
      <c r="AH103" s="140"/>
      <c r="AI103" s="137" t="e">
        <f t="shared" si="14"/>
        <v>#DIV/0!</v>
      </c>
    </row>
    <row r="104" spans="1:35" ht="24" customHeight="1" hidden="1">
      <c r="A104" s="18"/>
      <c r="B104" s="18"/>
      <c r="C104" s="21"/>
      <c r="D104" s="141" t="s">
        <v>174</v>
      </c>
      <c r="E104" s="174"/>
      <c r="F104" s="174"/>
      <c r="G104" s="174"/>
      <c r="H104" s="174"/>
      <c r="I104" s="174"/>
      <c r="J104" s="174"/>
      <c r="K104" s="174"/>
      <c r="L104" s="174"/>
      <c r="M104" s="144">
        <v>0</v>
      </c>
      <c r="N104" s="174"/>
      <c r="O104" s="147">
        <f t="shared" si="20"/>
        <v>4000000</v>
      </c>
      <c r="P104" s="144">
        <f t="shared" si="21"/>
        <v>2000000</v>
      </c>
      <c r="Q104" s="151">
        <f>1500000+500000</f>
        <v>2000000</v>
      </c>
      <c r="R104" s="190"/>
      <c r="S104" s="121"/>
      <c r="T104" s="188">
        <f>185695.2+283914.6+257099.4+99340.8+62907.6+129854.4+71424+72591.6+236332.8+190290+101258.4+5511.6+10389.6</f>
        <v>1706610.0000000002</v>
      </c>
      <c r="U104" s="188"/>
      <c r="V104" s="130">
        <v>0</v>
      </c>
      <c r="W104" s="130"/>
      <c r="X104" s="188">
        <f>185695.2+283914.6+257099.4+99340.8+62907.6+129854.4+71424+72591.6+236332.8+190290+101258.4+5511.6+10389.6</f>
        <v>1706610.0000000002</v>
      </c>
      <c r="Y104" s="152">
        <f>X104/P104*100</f>
        <v>85.33050000000001</v>
      </c>
      <c r="Z104" s="34">
        <v>0</v>
      </c>
      <c r="AA104" s="130">
        <f t="shared" si="19"/>
        <v>0</v>
      </c>
      <c r="AB104" s="163">
        <f t="shared" si="17"/>
        <v>-2000000</v>
      </c>
      <c r="AC104" s="121"/>
      <c r="AD104" s="119">
        <f t="shared" si="18"/>
        <v>0</v>
      </c>
      <c r="AE104" s="155"/>
      <c r="AF104" s="121"/>
      <c r="AG104" s="121"/>
      <c r="AH104" s="140"/>
      <c r="AI104" s="137" t="e">
        <f t="shared" si="14"/>
        <v>#DIV/0!</v>
      </c>
    </row>
    <row r="105" spans="1:35" ht="17.25" hidden="1">
      <c r="A105" s="18"/>
      <c r="B105" s="18"/>
      <c r="C105" s="21"/>
      <c r="D105" s="141" t="s">
        <v>175</v>
      </c>
      <c r="E105" s="174"/>
      <c r="F105" s="174"/>
      <c r="G105" s="174"/>
      <c r="H105" s="174"/>
      <c r="I105" s="174"/>
      <c r="J105" s="174"/>
      <c r="K105" s="174"/>
      <c r="L105" s="174"/>
      <c r="M105" s="144">
        <v>0</v>
      </c>
      <c r="N105" s="174"/>
      <c r="O105" s="147">
        <f t="shared" si="20"/>
        <v>9012024</v>
      </c>
      <c r="P105" s="144">
        <f t="shared" si="21"/>
        <v>4506012</v>
      </c>
      <c r="Q105" s="151">
        <f>5000000-500000+6012</f>
        <v>4506012</v>
      </c>
      <c r="R105" s="190"/>
      <c r="S105" s="121"/>
      <c r="T105" s="188">
        <f>309091.2+295428.55+104848.25+410089.8+99821.4+824466.6+79300.2-85899.6+234306+338492.4+314325+469128-30844.2+68012.4+172592.4+166410+6012</f>
        <v>3775580.3999999994</v>
      </c>
      <c r="U105" s="188"/>
      <c r="V105" s="130">
        <v>0</v>
      </c>
      <c r="W105" s="130"/>
      <c r="X105" s="188">
        <f>309091.2+295428.55+104848.25+410089.8+99821.4+824466.6+79300.2-85899.6+234306+338492.4+314325+469128-30844.2+68012.4+172592.4+166410+6012</f>
        <v>3775580.3999999994</v>
      </c>
      <c r="Y105" s="152">
        <f>X105/P105*100</f>
        <v>83.78984343583637</v>
      </c>
      <c r="Z105" s="34">
        <v>0</v>
      </c>
      <c r="AA105" s="130">
        <f t="shared" si="19"/>
        <v>0</v>
      </c>
      <c r="AB105" s="163">
        <f t="shared" si="17"/>
        <v>-4506012</v>
      </c>
      <c r="AC105" s="121"/>
      <c r="AD105" s="119">
        <f t="shared" si="18"/>
        <v>0</v>
      </c>
      <c r="AE105" s="155"/>
      <c r="AF105" s="121"/>
      <c r="AG105" s="121"/>
      <c r="AH105" s="140"/>
      <c r="AI105" s="137" t="e">
        <f t="shared" si="14"/>
        <v>#DIV/0!</v>
      </c>
    </row>
    <row r="106" spans="1:35" ht="21" customHeight="1" hidden="1">
      <c r="A106" s="18"/>
      <c r="B106" s="18"/>
      <c r="C106" s="21"/>
      <c r="D106" s="141" t="s">
        <v>176</v>
      </c>
      <c r="E106" s="174"/>
      <c r="F106" s="174"/>
      <c r="G106" s="174"/>
      <c r="H106" s="174"/>
      <c r="I106" s="174"/>
      <c r="J106" s="174"/>
      <c r="K106" s="174"/>
      <c r="L106" s="174"/>
      <c r="M106" s="144">
        <v>0</v>
      </c>
      <c r="N106" s="174"/>
      <c r="O106" s="147">
        <f t="shared" si="20"/>
        <v>7000000</v>
      </c>
      <c r="P106" s="144">
        <f t="shared" si="21"/>
        <v>3500000</v>
      </c>
      <c r="Q106" s="151">
        <v>3500000</v>
      </c>
      <c r="R106" s="190"/>
      <c r="S106" s="121"/>
      <c r="T106" s="188">
        <v>2072751.6</v>
      </c>
      <c r="U106" s="188"/>
      <c r="V106" s="130">
        <v>0</v>
      </c>
      <c r="W106" s="130"/>
      <c r="X106" s="188">
        <v>2072751.6</v>
      </c>
      <c r="Y106" s="152">
        <f>X106/P106*100</f>
        <v>59.221474285714294</v>
      </c>
      <c r="Z106" s="34">
        <v>0</v>
      </c>
      <c r="AA106" s="130">
        <f t="shared" si="19"/>
        <v>0</v>
      </c>
      <c r="AB106" s="163">
        <f t="shared" si="17"/>
        <v>-3500000</v>
      </c>
      <c r="AC106" s="121"/>
      <c r="AD106" s="119">
        <f t="shared" si="18"/>
        <v>0</v>
      </c>
      <c r="AE106" s="155"/>
      <c r="AF106" s="121"/>
      <c r="AG106" s="121"/>
      <c r="AH106" s="140"/>
      <c r="AI106" s="137" t="e">
        <f t="shared" si="14"/>
        <v>#DIV/0!</v>
      </c>
    </row>
    <row r="107" spans="1:35" ht="21" customHeight="1">
      <c r="A107" s="18"/>
      <c r="B107" s="18"/>
      <c r="C107" s="21"/>
      <c r="D107" s="141" t="s">
        <v>223</v>
      </c>
      <c r="E107" s="174"/>
      <c r="F107" s="174"/>
      <c r="G107" s="174"/>
      <c r="H107" s="174"/>
      <c r="I107" s="174"/>
      <c r="J107" s="174"/>
      <c r="K107" s="174"/>
      <c r="L107" s="174"/>
      <c r="M107" s="144"/>
      <c r="N107" s="174"/>
      <c r="O107" s="147"/>
      <c r="P107" s="144"/>
      <c r="Q107" s="151"/>
      <c r="R107" s="190"/>
      <c r="S107" s="121"/>
      <c r="T107" s="188"/>
      <c r="U107" s="188"/>
      <c r="V107" s="130"/>
      <c r="W107" s="130"/>
      <c r="X107" s="188"/>
      <c r="Y107" s="152"/>
      <c r="Z107" s="34"/>
      <c r="AA107" s="130"/>
      <c r="AB107" s="163"/>
      <c r="AC107" s="121"/>
      <c r="AD107" s="191">
        <f>AE107</f>
        <v>11806.56</v>
      </c>
      <c r="AE107" s="155">
        <v>11806.56</v>
      </c>
      <c r="AF107" s="121"/>
      <c r="AG107" s="121"/>
      <c r="AH107" s="140">
        <f>1115.07+798.02+938.05</f>
        <v>2851.14</v>
      </c>
      <c r="AI107" s="137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2" t="s">
        <v>235</v>
      </c>
      <c r="E108" s="125"/>
      <c r="F108" s="125"/>
      <c r="G108" s="125"/>
      <c r="H108" s="125"/>
      <c r="I108" s="125"/>
      <c r="J108" s="125"/>
      <c r="K108" s="125"/>
      <c r="L108" s="125"/>
      <c r="M108" s="193"/>
      <c r="N108" s="125"/>
      <c r="O108" s="194"/>
      <c r="P108" s="193"/>
      <c r="Q108" s="195"/>
      <c r="R108" s="196"/>
      <c r="S108" s="196"/>
      <c r="T108" s="195"/>
      <c r="U108" s="195"/>
      <c r="V108" s="195"/>
      <c r="W108" s="195"/>
      <c r="X108" s="195"/>
      <c r="Y108" s="197"/>
      <c r="Z108" s="198"/>
      <c r="AA108" s="195"/>
      <c r="AB108" s="199"/>
      <c r="AC108" s="196"/>
      <c r="AD108" s="200">
        <f>AE108</f>
        <v>666836.4</v>
      </c>
      <c r="AE108" s="198">
        <v>666836.4</v>
      </c>
      <c r="AF108" s="45"/>
      <c r="AG108" s="45"/>
      <c r="AH108" s="155">
        <f>606679.2+57642</f>
        <v>664321.2</v>
      </c>
      <c r="AI108" s="137">
        <f t="shared" si="14"/>
        <v>99.62281603103848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1">
        <f>M110</f>
        <v>28400</v>
      </c>
      <c r="N109" s="202"/>
      <c r="O109" s="203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1">
        <f>Z109/P109*100</f>
        <v>176.05633802816902</v>
      </c>
      <c r="AB109" s="242"/>
      <c r="AC109" s="45" t="s">
        <v>178</v>
      </c>
      <c r="AD109" s="111">
        <f aca="true" t="shared" si="22" ref="AD109:AD115">AE109+AF109</f>
        <v>30700</v>
      </c>
      <c r="AE109" s="204">
        <f>AE110</f>
        <v>30700</v>
      </c>
      <c r="AF109" s="74"/>
      <c r="AG109" s="74"/>
      <c r="AH109" s="205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6" t="s">
        <v>179</v>
      </c>
      <c r="E110" s="9"/>
      <c r="F110" s="9"/>
      <c r="G110" s="10"/>
      <c r="H110" s="9"/>
      <c r="I110" s="9"/>
      <c r="J110" s="206"/>
      <c r="K110" s="206"/>
      <c r="L110" s="206"/>
      <c r="M110" s="207">
        <v>28400</v>
      </c>
      <c r="N110" s="206"/>
      <c r="O110" s="208">
        <f>P110+Q110</f>
        <v>56800</v>
      </c>
      <c r="P110" s="209">
        <f>Q110+R110</f>
        <v>28400</v>
      </c>
      <c r="Q110" s="130">
        <v>28400</v>
      </c>
      <c r="R110" s="130">
        <v>0</v>
      </c>
      <c r="S110" s="130">
        <v>0</v>
      </c>
      <c r="T110" s="130">
        <v>0</v>
      </c>
      <c r="U110" s="130"/>
      <c r="V110" s="130">
        <f>P110*(0.9)</f>
        <v>25560</v>
      </c>
      <c r="W110" s="130"/>
      <c r="X110" s="130">
        <v>0</v>
      </c>
      <c r="Y110" s="161">
        <f>X110/P110*100</f>
        <v>0</v>
      </c>
      <c r="Z110" s="210">
        <v>50000</v>
      </c>
      <c r="AA110" s="130">
        <f>Z110/P110*100</f>
        <v>176.05633802816902</v>
      </c>
      <c r="AB110" s="242"/>
      <c r="AC110" s="45"/>
      <c r="AD110" s="160">
        <f t="shared" si="22"/>
        <v>30700</v>
      </c>
      <c r="AE110" s="132">
        <v>30700</v>
      </c>
      <c r="AF110" s="55"/>
      <c r="AG110" s="55"/>
      <c r="AH110" s="211">
        <v>0</v>
      </c>
      <c r="AI110" s="131">
        <f t="shared" si="14"/>
        <v>0</v>
      </c>
    </row>
    <row r="111" spans="1:35" ht="52.5" customHeight="1">
      <c r="A111" s="18"/>
      <c r="B111" s="31" t="s">
        <v>26</v>
      </c>
      <c r="C111" s="32"/>
      <c r="D111" s="212" t="s">
        <v>141</v>
      </c>
      <c r="E111" s="213"/>
      <c r="F111" s="213"/>
      <c r="G111" s="213"/>
      <c r="H111" s="213"/>
      <c r="I111" s="213"/>
      <c r="J111" s="213"/>
      <c r="K111" s="213"/>
      <c r="L111" s="213"/>
      <c r="M111" s="214"/>
      <c r="N111" s="214"/>
      <c r="O111" s="214"/>
      <c r="P111" s="214"/>
      <c r="Q111" s="214"/>
      <c r="R111" s="214"/>
      <c r="S111" s="214"/>
      <c r="T111" s="214"/>
      <c r="U111" s="214"/>
      <c r="V111" s="106"/>
      <c r="W111" s="106"/>
      <c r="X111" s="214"/>
      <c r="Y111" s="214"/>
      <c r="Z111" s="204"/>
      <c r="AA111" s="106"/>
      <c r="AB111" s="110"/>
      <c r="AC111" s="215"/>
      <c r="AD111" s="111">
        <f t="shared" si="22"/>
        <v>777789.24</v>
      </c>
      <c r="AE111" s="204">
        <f>AE112</f>
        <v>777789.24</v>
      </c>
      <c r="AF111" s="74"/>
      <c r="AG111" s="74"/>
      <c r="AH111" s="70">
        <f>AH113</f>
        <v>378785.55</v>
      </c>
      <c r="AI111" s="109">
        <f>AH111/AD111*100</f>
        <v>48.70028158270742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4"/>
      <c r="F112" s="174"/>
      <c r="G112" s="174"/>
      <c r="H112" s="174"/>
      <c r="I112" s="174"/>
      <c r="J112" s="174"/>
      <c r="K112" s="174"/>
      <c r="L112" s="174"/>
      <c r="M112" s="216">
        <f>M113</f>
        <v>135989</v>
      </c>
      <c r="N112" s="216"/>
      <c r="O112" s="170">
        <f>P112+Q112</f>
        <v>271978</v>
      </c>
      <c r="P112" s="169">
        <f>Q112+R112</f>
        <v>135989</v>
      </c>
      <c r="Q112" s="130">
        <f>Q113</f>
        <v>135989</v>
      </c>
      <c r="R112" s="121"/>
      <c r="S112" s="121"/>
      <c r="T112" s="130">
        <f>T113</f>
        <v>128500.84000000001</v>
      </c>
      <c r="U112" s="130"/>
      <c r="V112" s="130">
        <f>V113</f>
        <v>1147180.09</v>
      </c>
      <c r="W112" s="130">
        <v>402800</v>
      </c>
      <c r="X112" s="130">
        <f>X113</f>
        <v>128500.84000000001</v>
      </c>
      <c r="Y112" s="137">
        <f>X112/P112*100</f>
        <v>94.4935546257418</v>
      </c>
      <c r="Z112" s="169">
        <f>Z113</f>
        <v>1147180.09</v>
      </c>
      <c r="AA112" s="130">
        <f>Z112/P112*100</f>
        <v>843.5830030370104</v>
      </c>
      <c r="AB112" s="163">
        <f>Z112-P112</f>
        <v>1011191.0900000001</v>
      </c>
      <c r="AC112" s="121"/>
      <c r="AD112" s="191">
        <f t="shared" si="22"/>
        <v>777789.24</v>
      </c>
      <c r="AE112" s="155">
        <f>AE113+AE114</f>
        <v>777789.24</v>
      </c>
      <c r="AF112" s="121"/>
      <c r="AG112" s="45"/>
      <c r="AH112" s="155">
        <f>AH113+AH114</f>
        <v>378785.55</v>
      </c>
      <c r="AI112" s="161">
        <f>AH112/AD112*100</f>
        <v>48.70028158270742</v>
      </c>
    </row>
    <row r="113" spans="1:35" ht="60" customHeight="1">
      <c r="A113" s="18"/>
      <c r="B113" s="20"/>
      <c r="C113" s="19"/>
      <c r="D113" s="149" t="s">
        <v>83</v>
      </c>
      <c r="E113" s="142"/>
      <c r="F113" s="142"/>
      <c r="G113" s="142"/>
      <c r="H113" s="142"/>
      <c r="I113" s="142"/>
      <c r="J113" s="142"/>
      <c r="K113" s="142"/>
      <c r="L113" s="142"/>
      <c r="M113" s="151">
        <f>135989</f>
        <v>135989</v>
      </c>
      <c r="N113" s="165"/>
      <c r="O113" s="147">
        <f>P113+Q113</f>
        <v>271978</v>
      </c>
      <c r="P113" s="144">
        <f>Q113+R113</f>
        <v>135989</v>
      </c>
      <c r="Q113" s="129">
        <f>135989</f>
        <v>135989</v>
      </c>
      <c r="R113" s="101"/>
      <c r="S113" s="101"/>
      <c r="T113" s="129">
        <f>6438.31+13187.76+54909+12393.8+41571.97</f>
        <v>128500.84000000001</v>
      </c>
      <c r="U113" s="129"/>
      <c r="V113" s="133">
        <v>1147180.09</v>
      </c>
      <c r="W113" s="133">
        <f>W112</f>
        <v>402800</v>
      </c>
      <c r="X113" s="129">
        <f>6438.31+13187.76+54909+12393.8+41571.97</f>
        <v>128500.84000000001</v>
      </c>
      <c r="Y113" s="148">
        <f>X113/P113*100</f>
        <v>94.4935546257418</v>
      </c>
      <c r="Z113" s="34">
        <v>1147180.09</v>
      </c>
      <c r="AA113" s="133">
        <f>Z113/P113*100</f>
        <v>843.5830030370104</v>
      </c>
      <c r="AB113" s="134">
        <f>Z113-P113</f>
        <v>1011191.0900000001</v>
      </c>
      <c r="AC113" s="101" t="s">
        <v>84</v>
      </c>
      <c r="AD113" s="160">
        <f t="shared" si="22"/>
        <v>736478.54</v>
      </c>
      <c r="AE113" s="34">
        <v>736478.54</v>
      </c>
      <c r="AF113" s="45"/>
      <c r="AG113" s="45"/>
      <c r="AH113" s="218">
        <f>11291.3+9563.01+9331.63+11197.95+10805.05+9724.53+8211.82+12317.77+10264.82+10264.82+40136.29+9912.46+80056.91+8624.61+41052.05+7295.54+68000+12209.06+8525.93</f>
        <v>378785.55</v>
      </c>
      <c r="AI113" s="131">
        <f>AH113/AD113*100</f>
        <v>51.43198741405281</v>
      </c>
    </row>
    <row r="114" spans="1:37" ht="34.5" customHeight="1">
      <c r="A114" s="18"/>
      <c r="B114" s="18"/>
      <c r="C114" s="33"/>
      <c r="D114" s="219" t="s">
        <v>233</v>
      </c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160">
        <f t="shared" si="22"/>
        <v>41310.7</v>
      </c>
      <c r="AE114" s="34">
        <v>41310.7</v>
      </c>
      <c r="AF114" s="45"/>
      <c r="AG114" s="45"/>
      <c r="AH114" s="131">
        <v>0</v>
      </c>
      <c r="AI114" s="131">
        <f>AH114/AD114*100</f>
        <v>0</v>
      </c>
      <c r="AK114" s="28"/>
    </row>
    <row r="115" spans="1:35" ht="0.75" customHeight="1" hidden="1">
      <c r="A115" s="18"/>
      <c r="B115" s="18"/>
      <c r="C115" s="33"/>
      <c r="D115" s="149"/>
      <c r="E115" s="142"/>
      <c r="F115" s="142"/>
      <c r="G115" s="142"/>
      <c r="H115" s="142"/>
      <c r="I115" s="142"/>
      <c r="J115" s="142"/>
      <c r="K115" s="142"/>
      <c r="L115" s="142"/>
      <c r="M115" s="151"/>
      <c r="N115" s="165"/>
      <c r="O115" s="147"/>
      <c r="P115" s="144"/>
      <c r="Q115" s="129"/>
      <c r="R115" s="101"/>
      <c r="S115" s="101"/>
      <c r="T115" s="129"/>
      <c r="U115" s="129"/>
      <c r="V115" s="133"/>
      <c r="W115" s="133"/>
      <c r="X115" s="129"/>
      <c r="Y115" s="148"/>
      <c r="Z115" s="34"/>
      <c r="AA115" s="133"/>
      <c r="AB115" s="134"/>
      <c r="AC115" s="101"/>
      <c r="AD115" s="160">
        <f t="shared" si="22"/>
        <v>736478.54</v>
      </c>
      <c r="AE115" s="34">
        <v>736478.54</v>
      </c>
      <c r="AF115" s="221"/>
      <c r="AG115" s="221"/>
      <c r="AH115" s="222"/>
      <c r="AI115" s="223"/>
    </row>
    <row r="116" spans="1:35" ht="33" customHeight="1">
      <c r="A116" s="18"/>
      <c r="B116" s="31" t="s">
        <v>162</v>
      </c>
      <c r="C116" s="84"/>
      <c r="D116" s="212" t="s">
        <v>209</v>
      </c>
      <c r="E116" s="224"/>
      <c r="F116" s="224"/>
      <c r="G116" s="224"/>
      <c r="H116" s="224"/>
      <c r="I116" s="224"/>
      <c r="J116" s="224"/>
      <c r="K116" s="224"/>
      <c r="L116" s="224"/>
      <c r="M116" s="225"/>
      <c r="N116" s="226"/>
      <c r="O116" s="227"/>
      <c r="P116" s="214"/>
      <c r="Q116" s="228"/>
      <c r="R116" s="229"/>
      <c r="S116" s="229"/>
      <c r="T116" s="228"/>
      <c r="U116" s="228"/>
      <c r="V116" s="230"/>
      <c r="W116" s="230"/>
      <c r="X116" s="228"/>
      <c r="Y116" s="231"/>
      <c r="Z116" s="85"/>
      <c r="AA116" s="230"/>
      <c r="AB116" s="232"/>
      <c r="AC116" s="229"/>
      <c r="AD116" s="111">
        <f>AE116</f>
        <v>4500000</v>
      </c>
      <c r="AE116" s="204">
        <f>AE117</f>
        <v>4500000</v>
      </c>
      <c r="AF116" s="74"/>
      <c r="AG116" s="74"/>
      <c r="AH116" s="233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49" t="s">
        <v>211</v>
      </c>
      <c r="E117" s="142"/>
      <c r="F117" s="142"/>
      <c r="G117" s="142"/>
      <c r="H117" s="142"/>
      <c r="I117" s="142"/>
      <c r="J117" s="142"/>
      <c r="K117" s="142"/>
      <c r="L117" s="142"/>
      <c r="M117" s="151"/>
      <c r="N117" s="165"/>
      <c r="O117" s="147"/>
      <c r="P117" s="144"/>
      <c r="Q117" s="129"/>
      <c r="R117" s="101"/>
      <c r="S117" s="101"/>
      <c r="T117" s="129"/>
      <c r="U117" s="129"/>
      <c r="V117" s="133"/>
      <c r="W117" s="133"/>
      <c r="X117" s="129"/>
      <c r="Y117" s="148"/>
      <c r="Z117" s="34"/>
      <c r="AA117" s="133"/>
      <c r="AB117" s="134"/>
      <c r="AC117" s="101"/>
      <c r="AD117" s="160">
        <f>AE117</f>
        <v>4500000</v>
      </c>
      <c r="AE117" s="34">
        <v>4500000</v>
      </c>
      <c r="AF117" s="45"/>
      <c r="AG117" s="45"/>
      <c r="AH117" s="234">
        <v>0</v>
      </c>
      <c r="AI117" s="131">
        <f>AH117/AD117*100</f>
        <v>0</v>
      </c>
    </row>
    <row r="118" spans="1:35" ht="18" customHeight="1">
      <c r="A118" s="35"/>
      <c r="B118" s="35"/>
      <c r="C118" s="36"/>
      <c r="D118" s="235" t="s">
        <v>104</v>
      </c>
      <c r="E118" s="236"/>
      <c r="F118" s="236"/>
      <c r="G118" s="236"/>
      <c r="H118" s="236"/>
      <c r="I118" s="237"/>
      <c r="J118" s="237"/>
      <c r="K118" s="237"/>
      <c r="L118" s="237"/>
      <c r="M118" s="170" t="e">
        <f>M109+M49</f>
        <v>#REF!</v>
      </c>
      <c r="N118" s="170" t="e">
        <f>N109+N49</f>
        <v>#VALUE!</v>
      </c>
      <c r="O118" s="170" t="e">
        <f>O109+O49</f>
        <v>#REF!</v>
      </c>
      <c r="P118" s="169" t="e">
        <f>P109+P49</f>
        <v>#REF!</v>
      </c>
      <c r="Q118" s="170"/>
      <c r="R118" s="170"/>
      <c r="S118" s="170"/>
      <c r="T118" s="170"/>
      <c r="U118" s="170"/>
      <c r="V118" s="170"/>
      <c r="W118" s="130"/>
      <c r="X118" s="170"/>
      <c r="Y118" s="170"/>
      <c r="Z118" s="169" t="e">
        <f>Z109+Z49</f>
        <v>#REF!</v>
      </c>
      <c r="AA118" s="170" t="e">
        <f>AA109+AA49</f>
        <v>#REF!</v>
      </c>
      <c r="AB118" s="170" t="e">
        <f>AB109+AB49</f>
        <v>#REF!</v>
      </c>
      <c r="AC118" s="170"/>
      <c r="AD118" s="135">
        <f>AD116+AD111+AD109+AD49+AD47+AD8</f>
        <v>85080736.65819901</v>
      </c>
      <c r="AE118" s="135">
        <f>AE116+AE111+AE109+AE49+AE47+AE8</f>
        <v>59026378.378199</v>
      </c>
      <c r="AF118" s="135">
        <f>AF116+AF111+AF109+AF49+AF47+AF8</f>
        <v>26054358.28</v>
      </c>
      <c r="AG118" s="135">
        <f>AG116+AG111+AG109+AG49+AG47+AG8</f>
        <v>26054358.28</v>
      </c>
      <c r="AH118" s="135">
        <f>AH116+AH111+AH109+AH49+AH47+AH8</f>
        <v>50828090.980000004</v>
      </c>
      <c r="AI118" s="217">
        <f>AH118/AD118*100</f>
        <v>59.7410095121712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2017-10-09T11:47:03Z</dcterms:modified>
  <cp:category/>
  <cp:version/>
  <cp:contentType/>
  <cp:contentStatus/>
</cp:coreProperties>
</file>